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9720" windowHeight="7320"/>
  </bookViews>
  <sheets>
    <sheet name="งบ ตท" sheetId="1" r:id="rId1"/>
    <sheet name="PLงบกำไรผลิตกรรม" sheetId="2" r:id="rId2"/>
    <sheet name="CFงบเงินสดผลิตกรรม" sheetId="7" r:id="rId3"/>
    <sheet name="BSงบดุลผลิตกรรม" sheetId="8" r:id="rId4"/>
    <sheet name="Ratio" sheetId="10" r:id="rId5"/>
    <sheet name="วิเคราะห์" sheetId="9" r:id="rId6"/>
  </sheets>
  <calcPr calcId="145621"/>
</workbook>
</file>

<file path=xl/calcChain.xml><?xml version="1.0" encoding="utf-8"?>
<calcChain xmlns="http://schemas.openxmlformats.org/spreadsheetml/2006/main">
  <c r="B12" i="9" l="1"/>
  <c r="B13" i="9" s="1"/>
  <c r="B32" i="7" l="1"/>
  <c r="B31" i="7"/>
  <c r="B30" i="7"/>
  <c r="B29" i="7"/>
  <c r="B28" i="7"/>
  <c r="B27" i="7"/>
  <c r="B26" i="7"/>
  <c r="B25" i="7"/>
  <c r="B14" i="7"/>
  <c r="B13" i="7"/>
  <c r="B12" i="7"/>
  <c r="B11" i="7"/>
  <c r="C6" i="7"/>
  <c r="C8" i="7" s="1"/>
  <c r="C7" i="7"/>
  <c r="C21" i="7"/>
  <c r="C22" i="7"/>
  <c r="C11" i="7"/>
  <c r="C15" i="7"/>
  <c r="C17" i="7"/>
  <c r="C18" i="7"/>
  <c r="C19" i="7"/>
  <c r="C20" i="7"/>
  <c r="C14" i="7"/>
  <c r="B22" i="2"/>
  <c r="D23" i="7" s="1"/>
  <c r="D22" i="7"/>
  <c r="D21" i="7"/>
  <c r="D11" i="7"/>
  <c r="D15" i="7"/>
  <c r="D17" i="7"/>
  <c r="D18" i="7"/>
  <c r="D19" i="7"/>
  <c r="D20" i="7"/>
  <c r="D14" i="7"/>
  <c r="D6" i="7"/>
  <c r="D7" i="7"/>
  <c r="C22" i="2"/>
  <c r="C32" i="8" s="1"/>
  <c r="E21" i="7"/>
  <c r="E22" i="7"/>
  <c r="E11" i="7"/>
  <c r="E15" i="7"/>
  <c r="E17" i="7"/>
  <c r="E18" i="7"/>
  <c r="E19" i="7"/>
  <c r="E20" i="7"/>
  <c r="E14" i="7"/>
  <c r="E6" i="7"/>
  <c r="E7" i="7"/>
  <c r="D11" i="9"/>
  <c r="C11" i="9"/>
  <c r="B11" i="9"/>
  <c r="L14" i="10"/>
  <c r="J14" i="10"/>
  <c r="J25" i="10" s="1"/>
  <c r="H14" i="10"/>
  <c r="H25" i="10" s="1"/>
  <c r="B47" i="1"/>
  <c r="B48" i="1" s="1"/>
  <c r="B36" i="1"/>
  <c r="B37" i="1" s="1"/>
  <c r="D22" i="2"/>
  <c r="D32" i="8" s="1"/>
  <c r="B32" i="8"/>
  <c r="B26" i="1"/>
  <c r="B26" i="8" s="1"/>
  <c r="C8" i="8"/>
  <c r="D8" i="8"/>
  <c r="B8" i="8"/>
  <c r="H15" i="10" s="1"/>
  <c r="C41" i="7"/>
  <c r="D47" i="1"/>
  <c r="C42" i="7" s="1"/>
  <c r="C39" i="7"/>
  <c r="B22" i="1"/>
  <c r="B14" i="1"/>
  <c r="B38" i="7"/>
  <c r="B37" i="7"/>
  <c r="D41" i="7"/>
  <c r="D39" i="7"/>
  <c r="E41" i="7"/>
  <c r="E39" i="7"/>
  <c r="C52" i="1"/>
  <c r="C53" i="1" s="1"/>
  <c r="C16" i="2"/>
  <c r="F16" i="2" s="1"/>
  <c r="C38" i="2"/>
  <c r="C42" i="2" s="1"/>
  <c r="C52" i="2"/>
  <c r="C56" i="2"/>
  <c r="F56" i="2" s="1"/>
  <c r="D16" i="2"/>
  <c r="G16" i="2" s="1"/>
  <c r="D38" i="2"/>
  <c r="D42" i="2"/>
  <c r="D44" i="2"/>
  <c r="D51" i="2" s="1"/>
  <c r="D52" i="2"/>
  <c r="G52" i="2" s="1"/>
  <c r="D56" i="2"/>
  <c r="B38" i="2"/>
  <c r="E38" i="2" s="1"/>
  <c r="B52" i="2"/>
  <c r="B56" i="2"/>
  <c r="B16" i="2"/>
  <c r="L15" i="10"/>
  <c r="L24" i="10" s="1"/>
  <c r="J15" i="10"/>
  <c r="J24" i="10" s="1"/>
  <c r="B12" i="8"/>
  <c r="B8" i="7"/>
  <c r="C41" i="1"/>
  <c r="C42" i="1" s="1"/>
  <c r="C14" i="1"/>
  <c r="D14" i="1"/>
  <c r="E8" i="1"/>
  <c r="E9" i="1"/>
  <c r="E10" i="1"/>
  <c r="E11" i="1"/>
  <c r="E12" i="1"/>
  <c r="E13" i="1"/>
  <c r="B15" i="8"/>
  <c r="C15" i="8" s="1"/>
  <c r="B16" i="8"/>
  <c r="C16" i="8" s="1"/>
  <c r="D16" i="8" s="1"/>
  <c r="B17" i="8"/>
  <c r="C17" i="8" s="1"/>
  <c r="B18" i="8"/>
  <c r="C18" i="8" s="1"/>
  <c r="D18" i="8" s="1"/>
  <c r="B19" i="8"/>
  <c r="C19" i="8" s="1"/>
  <c r="B20" i="8"/>
  <c r="C20" i="8" s="1"/>
  <c r="D20" i="8" s="1"/>
  <c r="B21" i="8"/>
  <c r="C21" i="8" s="1"/>
  <c r="C12" i="8"/>
  <c r="D12" i="8" s="1"/>
  <c r="C9" i="8"/>
  <c r="C10" i="8"/>
  <c r="C11" i="8"/>
  <c r="L34" i="10"/>
  <c r="L39" i="10" s="1"/>
  <c r="L55" i="10" s="1"/>
  <c r="L60" i="10" s="1"/>
  <c r="L65" i="10" s="1"/>
  <c r="J34" i="10"/>
  <c r="J39" i="10" s="1"/>
  <c r="J55" i="10" s="1"/>
  <c r="J60" i="10" s="1"/>
  <c r="J65" i="10" s="1"/>
  <c r="H34" i="10"/>
  <c r="I25" i="10"/>
  <c r="K25" i="10"/>
  <c r="L25" i="10"/>
  <c r="D9" i="8"/>
  <c r="D10" i="8"/>
  <c r="D11" i="8"/>
  <c r="B9" i="8"/>
  <c r="B10" i="8"/>
  <c r="B11" i="8"/>
  <c r="D22" i="1"/>
  <c r="H39" i="10"/>
  <c r="H55" i="10" s="1"/>
  <c r="H60" i="10" s="1"/>
  <c r="H65" i="10" s="1"/>
  <c r="F12" i="2"/>
  <c r="G12" i="2"/>
  <c r="E12" i="2"/>
  <c r="F38" i="2"/>
  <c r="G38" i="2"/>
  <c r="D50" i="9"/>
  <c r="E16" i="1"/>
  <c r="E17" i="1"/>
  <c r="E18" i="1"/>
  <c r="E19" i="1"/>
  <c r="E20" i="1"/>
  <c r="E21" i="1"/>
  <c r="C22" i="1"/>
  <c r="E24" i="1"/>
  <c r="E25" i="1"/>
  <c r="C26" i="1"/>
  <c r="C26" i="8" s="1"/>
  <c r="D26" i="1"/>
  <c r="D26" i="8" s="1"/>
  <c r="G58" i="2"/>
  <c r="F58" i="2"/>
  <c r="E58" i="2"/>
  <c r="G56" i="2"/>
  <c r="E56" i="2"/>
  <c r="G54" i="2"/>
  <c r="F54" i="2"/>
  <c r="E54" i="2"/>
  <c r="F52" i="2"/>
  <c r="E52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G43" i="2"/>
  <c r="F43" i="2"/>
  <c r="E43" i="2"/>
  <c r="G42" i="2"/>
  <c r="G41" i="2"/>
  <c r="F41" i="2"/>
  <c r="E41" i="2"/>
  <c r="G40" i="2"/>
  <c r="F40" i="2"/>
  <c r="E40" i="2"/>
  <c r="G39" i="2"/>
  <c r="F39" i="2"/>
  <c r="E39" i="2"/>
  <c r="G22" i="2"/>
  <c r="F22" i="2"/>
  <c r="E22" i="2"/>
  <c r="E18" i="2"/>
  <c r="E16" i="2"/>
  <c r="G15" i="2"/>
  <c r="F15" i="2"/>
  <c r="E15" i="2"/>
  <c r="G14" i="2"/>
  <c r="F14" i="2"/>
  <c r="E14" i="2"/>
  <c r="G13" i="2"/>
  <c r="F13" i="2"/>
  <c r="E13" i="2"/>
  <c r="G8" i="2"/>
  <c r="F8" i="2"/>
  <c r="E8" i="2"/>
  <c r="B34" i="8" l="1"/>
  <c r="D48" i="1"/>
  <c r="D42" i="7" s="1"/>
  <c r="B49" i="1"/>
  <c r="C34" i="8" s="1"/>
  <c r="E26" i="1"/>
  <c r="C54" i="1"/>
  <c r="J20" i="10"/>
  <c r="J29" i="10" s="1"/>
  <c r="B42" i="2"/>
  <c r="B44" i="2" s="1"/>
  <c r="E22" i="1"/>
  <c r="D49" i="1"/>
  <c r="E42" i="7" s="1"/>
  <c r="D36" i="1"/>
  <c r="C40" i="7" s="1"/>
  <c r="B50" i="1"/>
  <c r="E8" i="7"/>
  <c r="D21" i="8"/>
  <c r="C33" i="7"/>
  <c r="C34" i="7" s="1"/>
  <c r="B34" i="9" s="1"/>
  <c r="H20" i="10"/>
  <c r="H29" i="10" s="1"/>
  <c r="E42" i="2"/>
  <c r="L27" i="10"/>
  <c r="J27" i="10"/>
  <c r="E23" i="7"/>
  <c r="E33" i="7" s="1"/>
  <c r="E34" i="7" s="1"/>
  <c r="D37" i="1"/>
  <c r="B38" i="1"/>
  <c r="B31" i="8"/>
  <c r="H4" i="10" s="1"/>
  <c r="H9" i="10" s="1"/>
  <c r="B27" i="1"/>
  <c r="B28" i="1" s="1"/>
  <c r="B33" i="7"/>
  <c r="B33" i="9" s="1"/>
  <c r="D33" i="9" s="1"/>
  <c r="E14" i="1"/>
  <c r="H24" i="10"/>
  <c r="H27" i="10" s="1"/>
  <c r="H17" i="10"/>
  <c r="B22" i="8"/>
  <c r="H40" i="10" s="1"/>
  <c r="H42" i="10" s="1"/>
  <c r="D8" i="7"/>
  <c r="L17" i="10"/>
  <c r="D33" i="7"/>
  <c r="J17" i="10"/>
  <c r="L20" i="10"/>
  <c r="L29" i="10" s="1"/>
  <c r="C22" i="8"/>
  <c r="D15" i="8"/>
  <c r="C44" i="2"/>
  <c r="F42" i="2"/>
  <c r="D19" i="8"/>
  <c r="D17" i="8"/>
  <c r="B51" i="2"/>
  <c r="E44" i="2"/>
  <c r="D53" i="2"/>
  <c r="G51" i="2"/>
  <c r="E27" i="1"/>
  <c r="D28" i="1"/>
  <c r="C43" i="1"/>
  <c r="D34" i="8"/>
  <c r="C31" i="8"/>
  <c r="C28" i="1" l="1"/>
  <c r="B35" i="8"/>
  <c r="H69" i="10" s="1"/>
  <c r="H74" i="10" s="1"/>
  <c r="B20" i="2"/>
  <c r="D50" i="1"/>
  <c r="B51" i="1"/>
  <c r="D51" i="1" s="1"/>
  <c r="D40" i="7"/>
  <c r="C20" i="2"/>
  <c r="B39" i="1"/>
  <c r="D38" i="1"/>
  <c r="E20" i="2"/>
  <c r="H80" i="10"/>
  <c r="B25" i="9"/>
  <c r="B51" i="9" s="1"/>
  <c r="B34" i="7"/>
  <c r="D34" i="7"/>
  <c r="B35" i="9" s="1"/>
  <c r="B45" i="9" s="1"/>
  <c r="B36" i="7"/>
  <c r="E28" i="1"/>
  <c r="E51" i="2"/>
  <c r="B53" i="2"/>
  <c r="J40" i="10"/>
  <c r="J42" i="10" s="1"/>
  <c r="B44" i="9"/>
  <c r="D34" i="9"/>
  <c r="D22" i="8"/>
  <c r="G53" i="2"/>
  <c r="D55" i="2"/>
  <c r="B36" i="9"/>
  <c r="C35" i="8"/>
  <c r="J4" i="10"/>
  <c r="J9" i="10" s="1"/>
  <c r="C51" i="2"/>
  <c r="F44" i="2"/>
  <c r="D52" i="1" l="1"/>
  <c r="D35" i="9"/>
  <c r="F20" i="2"/>
  <c r="J80" i="10"/>
  <c r="B40" i="1"/>
  <c r="D40" i="1" s="1"/>
  <c r="D31" i="8"/>
  <c r="D39" i="1"/>
  <c r="D20" i="2"/>
  <c r="E40" i="7"/>
  <c r="D25" i="9"/>
  <c r="D57" i="2"/>
  <c r="G55" i="2"/>
  <c r="C53" i="2"/>
  <c r="F51" i="2"/>
  <c r="B46" i="9"/>
  <c r="D36" i="9"/>
  <c r="D26" i="9" s="1"/>
  <c r="L40" i="10"/>
  <c r="L42" i="10" s="1"/>
  <c r="F44" i="9"/>
  <c r="D44" i="9"/>
  <c r="B55" i="2"/>
  <c r="E53" i="2"/>
  <c r="J69" i="10"/>
  <c r="F45" i="9"/>
  <c r="D45" i="9"/>
  <c r="B37" i="8"/>
  <c r="D37" i="8"/>
  <c r="C37" i="8"/>
  <c r="B43" i="7"/>
  <c r="C35" i="7" s="1"/>
  <c r="C43" i="7" s="1"/>
  <c r="B26" i="9"/>
  <c r="B28" i="9" s="1"/>
  <c r="D53" i="1" l="1"/>
  <c r="D54" i="1"/>
  <c r="D38" i="9"/>
  <c r="D41" i="1"/>
  <c r="D43" i="1" s="1"/>
  <c r="G20" i="2"/>
  <c r="L80" i="10"/>
  <c r="D35" i="8"/>
  <c r="L69" i="10" s="1"/>
  <c r="L74" i="10" s="1"/>
  <c r="L4" i="10"/>
  <c r="L9" i="10" s="1"/>
  <c r="D28" i="9"/>
  <c r="D46" i="9"/>
  <c r="D48" i="9" s="1"/>
  <c r="F46" i="9"/>
  <c r="F48" i="9" s="1"/>
  <c r="C51" i="9" s="1"/>
  <c r="D51" i="9" s="1"/>
  <c r="D59" i="2"/>
  <c r="G57" i="2"/>
  <c r="J74" i="10"/>
  <c r="B57" i="2"/>
  <c r="E55" i="2"/>
  <c r="F53" i="2"/>
  <c r="C55" i="2"/>
  <c r="D35" i="7"/>
  <c r="D43" i="7" s="1"/>
  <c r="B7" i="8"/>
  <c r="C50" i="9" l="1"/>
  <c r="E51" i="9" s="1"/>
  <c r="B53" i="9" s="1"/>
  <c r="D42" i="1"/>
  <c r="E35" i="7"/>
  <c r="E43" i="7" s="1"/>
  <c r="D7" i="8" s="1"/>
  <c r="C7" i="8"/>
  <c r="B59" i="2"/>
  <c r="E57" i="2"/>
  <c r="D9" i="2"/>
  <c r="G59" i="2"/>
  <c r="H8" i="10"/>
  <c r="H11" i="10" s="1"/>
  <c r="B13" i="8"/>
  <c r="F51" i="9"/>
  <c r="F55" i="2"/>
  <c r="C57" i="2"/>
  <c r="B27" i="8" l="1"/>
  <c r="E13" i="8" s="1"/>
  <c r="H3" i="10"/>
  <c r="H6" i="10" s="1"/>
  <c r="G9" i="2"/>
  <c r="D10" i="2"/>
  <c r="D12" i="9"/>
  <c r="D14" i="9" s="1"/>
  <c r="L19" i="10"/>
  <c r="D13" i="8"/>
  <c r="L8" i="10"/>
  <c r="L11" i="10" s="1"/>
  <c r="J8" i="10"/>
  <c r="J11" i="10" s="1"/>
  <c r="C13" i="8"/>
  <c r="F57" i="2"/>
  <c r="C59" i="2"/>
  <c r="E59" i="2"/>
  <c r="B9" i="2"/>
  <c r="L3" i="10" l="1"/>
  <c r="L6" i="10" s="1"/>
  <c r="D27" i="8"/>
  <c r="G13" i="8" s="1"/>
  <c r="E24" i="8"/>
  <c r="E34" i="8"/>
  <c r="E27" i="8"/>
  <c r="E21" i="8"/>
  <c r="E17" i="8"/>
  <c r="E11" i="8"/>
  <c r="H35" i="10"/>
  <c r="E33" i="8"/>
  <c r="E20" i="8"/>
  <c r="E16" i="8"/>
  <c r="E10" i="8"/>
  <c r="E36" i="8"/>
  <c r="E32" i="8"/>
  <c r="E25" i="8"/>
  <c r="E19" i="8"/>
  <c r="E15" i="8"/>
  <c r="E9" i="8"/>
  <c r="E12" i="8"/>
  <c r="E31" i="8"/>
  <c r="E22" i="8"/>
  <c r="E18" i="8"/>
  <c r="E8" i="8"/>
  <c r="E35" i="8"/>
  <c r="E26" i="8"/>
  <c r="E37" i="8"/>
  <c r="E7" i="8"/>
  <c r="D13" i="9"/>
  <c r="D16" i="9" s="1"/>
  <c r="B14" i="9"/>
  <c r="H19" i="10"/>
  <c r="B10" i="2"/>
  <c r="E9" i="2"/>
  <c r="J3" i="10"/>
  <c r="J6" i="10" s="1"/>
  <c r="C27" i="8"/>
  <c r="F13" i="8" s="1"/>
  <c r="D17" i="2"/>
  <c r="L59" i="10"/>
  <c r="L62" i="10" s="1"/>
  <c r="G18" i="2"/>
  <c r="G10" i="2"/>
  <c r="C9" i="2"/>
  <c r="F59" i="2"/>
  <c r="L30" i="10"/>
  <c r="L32" i="10" s="1"/>
  <c r="L22" i="10"/>
  <c r="B16" i="9" l="1"/>
  <c r="H30" i="10"/>
  <c r="H32" i="10" s="1"/>
  <c r="H22" i="10"/>
  <c r="B17" i="2"/>
  <c r="E10" i="2"/>
  <c r="H59" i="10"/>
  <c r="H62" i="10" s="1"/>
  <c r="H45" i="10"/>
  <c r="H70" i="10" s="1"/>
  <c r="H72" i="10" s="1"/>
  <c r="H37" i="10"/>
  <c r="F18" i="8"/>
  <c r="F8" i="8"/>
  <c r="J35" i="10"/>
  <c r="F27" i="8"/>
  <c r="F11" i="8"/>
  <c r="F24" i="8"/>
  <c r="F12" i="8"/>
  <c r="F33" i="8"/>
  <c r="F20" i="8"/>
  <c r="F16" i="8"/>
  <c r="F10" i="8"/>
  <c r="F36" i="8"/>
  <c r="F25" i="8"/>
  <c r="F9" i="8"/>
  <c r="F17" i="8"/>
  <c r="F15" i="8"/>
  <c r="F34" i="8"/>
  <c r="F32" i="8"/>
  <c r="F26" i="8"/>
  <c r="F21" i="8"/>
  <c r="F19" i="8"/>
  <c r="F31" i="8"/>
  <c r="F22" i="8"/>
  <c r="F35" i="8"/>
  <c r="F37" i="8"/>
  <c r="F7" i="8"/>
  <c r="G36" i="8"/>
  <c r="G25" i="8"/>
  <c r="G9" i="8"/>
  <c r="G24" i="8"/>
  <c r="G18" i="8"/>
  <c r="G8" i="8"/>
  <c r="G27" i="8"/>
  <c r="G21" i="8"/>
  <c r="G11" i="8"/>
  <c r="L35" i="10"/>
  <c r="G33" i="8"/>
  <c r="G20" i="8"/>
  <c r="G16" i="8"/>
  <c r="G10" i="8"/>
  <c r="G26" i="8"/>
  <c r="G32" i="8"/>
  <c r="G12" i="8"/>
  <c r="G31" i="8"/>
  <c r="G34" i="8"/>
  <c r="G19" i="8"/>
  <c r="G15" i="8"/>
  <c r="G17" i="8"/>
  <c r="G22" i="8"/>
  <c r="G35" i="8"/>
  <c r="G37" i="8"/>
  <c r="G7" i="8"/>
  <c r="C12" i="9"/>
  <c r="C14" i="9" s="1"/>
  <c r="C10" i="2"/>
  <c r="J19" i="10"/>
  <c r="F9" i="2"/>
  <c r="L54" i="10"/>
  <c r="L57" i="10" s="1"/>
  <c r="G17" i="2"/>
  <c r="D19" i="2"/>
  <c r="G19" i="2" l="1"/>
  <c r="D21" i="2"/>
  <c r="L79" i="10"/>
  <c r="L82" i="10" s="1"/>
  <c r="L37" i="10"/>
  <c r="L45" i="10"/>
  <c r="L70" i="10" s="1"/>
  <c r="L72" i="10" s="1"/>
  <c r="C13" i="9"/>
  <c r="C16" i="9" s="1"/>
  <c r="J37" i="10"/>
  <c r="J45" i="10"/>
  <c r="J70" i="10" s="1"/>
  <c r="J72" i="10" s="1"/>
  <c r="F18" i="2"/>
  <c r="C17" i="2"/>
  <c r="J59" i="10"/>
  <c r="J62" i="10" s="1"/>
  <c r="F10" i="2"/>
  <c r="B19" i="2"/>
  <c r="E17" i="2"/>
  <c r="H54" i="10"/>
  <c r="H57" i="10" s="1"/>
  <c r="J30" i="10"/>
  <c r="J32" i="10" s="1"/>
  <c r="J22" i="10"/>
  <c r="E19" i="2" l="1"/>
  <c r="B21" i="2"/>
  <c r="H79" i="10"/>
  <c r="H82" i="10" s="1"/>
  <c r="C19" i="2"/>
  <c r="J54" i="10"/>
  <c r="J57" i="10" s="1"/>
  <c r="F17" i="2"/>
  <c r="D23" i="2"/>
  <c r="G21" i="2"/>
  <c r="B23" i="2" l="1"/>
  <c r="E21" i="2"/>
  <c r="L44" i="10"/>
  <c r="G23" i="2"/>
  <c r="C21" i="2"/>
  <c r="J79" i="10"/>
  <c r="J82" i="10" s="1"/>
  <c r="F19" i="2"/>
  <c r="C23" i="2" l="1"/>
  <c r="D38" i="8" s="1"/>
  <c r="F21" i="2"/>
  <c r="B38" i="8"/>
  <c r="H44" i="10"/>
  <c r="E23" i="2"/>
  <c r="L49" i="10"/>
  <c r="L47" i="10"/>
  <c r="H49" i="10" l="1"/>
  <c r="H47" i="10"/>
  <c r="J44" i="10"/>
  <c r="F23" i="2"/>
  <c r="E38" i="8"/>
  <c r="B39" i="8"/>
  <c r="C38" i="8"/>
  <c r="L64" i="10"/>
  <c r="L67" i="10" s="1"/>
  <c r="G38" i="8"/>
  <c r="D39" i="8"/>
  <c r="H64" i="10" l="1"/>
  <c r="H67" i="10" s="1"/>
  <c r="H50" i="10"/>
  <c r="H75" i="10" s="1"/>
  <c r="H77" i="10" s="1"/>
  <c r="E39" i="8"/>
  <c r="B40" i="8"/>
  <c r="G39" i="8"/>
  <c r="L50" i="10"/>
  <c r="D40" i="8"/>
  <c r="F38" i="8"/>
  <c r="C39" i="8"/>
  <c r="J49" i="10"/>
  <c r="J47" i="10"/>
  <c r="E40" i="8" l="1"/>
  <c r="B42" i="8"/>
  <c r="H52" i="10"/>
  <c r="F39" i="8"/>
  <c r="J50" i="10"/>
  <c r="J75" i="10" s="1"/>
  <c r="J77" i="10" s="1"/>
  <c r="C40" i="8"/>
  <c r="J64" i="10"/>
  <c r="J67" i="10" s="1"/>
  <c r="L75" i="10"/>
  <c r="L77" i="10" s="1"/>
  <c r="L52" i="10"/>
  <c r="G40" i="8"/>
  <c r="D42" i="8"/>
  <c r="J52" i="10" l="1"/>
  <c r="F40" i="8"/>
  <c r="C42" i="8"/>
</calcChain>
</file>

<file path=xl/sharedStrings.xml><?xml version="1.0" encoding="utf-8"?>
<sst xmlns="http://schemas.openxmlformats.org/spreadsheetml/2006/main" count="348" uniqueCount="266">
  <si>
    <t>รายการ</t>
  </si>
  <si>
    <t>รวมจำนวนเงินทั้งสิ้น  (บาท)</t>
  </si>
  <si>
    <t>แหล่งที่มาของเงินทุน</t>
  </si>
  <si>
    <t>หนี้สิน</t>
  </si>
  <si>
    <t>ทุนของเจ้าของ</t>
  </si>
  <si>
    <t>เจ้าหนี้การค้า</t>
  </si>
  <si>
    <t>(หนี้ระยะสั้น)</t>
  </si>
  <si>
    <t>เงินกู้</t>
  </si>
  <si>
    <t>(หนี้ระยะยาว)</t>
  </si>
  <si>
    <t>1.1  วัตถุดิบที่เตรียมไว้ในการผลิต</t>
  </si>
  <si>
    <t>1.3  สินค้าสำเร็จรูปสำรอง</t>
  </si>
  <si>
    <t>1.4  วัสดุสิ้นเปลือง</t>
  </si>
  <si>
    <t>1.5  เงินสดสำรองสำหรับการขายสินค้าเชื่อ</t>
  </si>
  <si>
    <t>1.6  เงินสด สำรองในการดำเนินงาน</t>
  </si>
  <si>
    <t>รวมเงินทุนหมุนเวียน  (1)</t>
  </si>
  <si>
    <t>2.1  ที่ดิน</t>
  </si>
  <si>
    <t>2.2  อาคาร</t>
  </si>
  <si>
    <t>2.3  เครื่องจักร/อุปกรณ์</t>
  </si>
  <si>
    <t>2.4  ยานพาหนะ</t>
  </si>
  <si>
    <t>2.5  เครื่องใช้สำนักงาน</t>
  </si>
  <si>
    <t>2.6  สินทรัพย์ถาวรอื่นๆ</t>
  </si>
  <si>
    <t>รวมสินทรัพย์ถาวร  (2)</t>
  </si>
  <si>
    <t>3.1  รายจ่ายในการเตรียมการ</t>
  </si>
  <si>
    <t>3.2  สิทธิการใช้สินทรัพย์ระยะยาว</t>
  </si>
  <si>
    <t>รวมรายจ่ายก่อนการดำเนินงาน (3)</t>
  </si>
  <si>
    <t>รวมต้นทุนโครงการทั้งสิ้น (1) + (2) + (3)</t>
  </si>
  <si>
    <t>หมายเหตุ  A = B + C + D</t>
  </si>
  <si>
    <t>ชื่อธุรกิจ.................................................................</t>
  </si>
  <si>
    <t>ประมาณการงบกำไรขาดทุน  เปรียบเทียบ  3 ปี</t>
  </si>
  <si>
    <t>ตั้งแต่ปี...........................ถึงปี..................</t>
  </si>
  <si>
    <t>ปีที่ 1</t>
  </si>
  <si>
    <t>ปีที่ 2</t>
  </si>
  <si>
    <t>ปีที่ 3</t>
  </si>
  <si>
    <t>ยอดขายสินค้า (สุทธิ)  (1)</t>
  </si>
  <si>
    <t>ค่าใช้จ่ายทางการตลาด</t>
  </si>
  <si>
    <t>ค่าใช้จ่ายในการบริหาร</t>
  </si>
  <si>
    <t>รวมค่าใช้จ่ายในการดำเนินงาน (4)</t>
  </si>
  <si>
    <t>การคำนวณต้นทุนสินค้าที่ขาย</t>
  </si>
  <si>
    <t>ปีที่1</t>
  </si>
  <si>
    <t>ปีที่2</t>
  </si>
  <si>
    <t>ปีที่3</t>
  </si>
  <si>
    <t>วัตถุดิบต้นงวด</t>
  </si>
  <si>
    <r>
      <t>บวก</t>
    </r>
    <r>
      <rPr>
        <sz val="16"/>
        <rFont val="Angsana New"/>
        <family val="1"/>
      </rPr>
      <t xml:space="preserve">   ซื้อวัตถุดิบ</t>
    </r>
  </si>
  <si>
    <r>
      <t>บวก</t>
    </r>
    <r>
      <rPr>
        <sz val="16"/>
        <rFont val="Angsana New"/>
        <family val="1"/>
      </rPr>
      <t xml:space="preserve">   ค่าขนส่งเข้า</t>
    </r>
  </si>
  <si>
    <r>
      <t>หัก</t>
    </r>
    <r>
      <rPr>
        <sz val="16"/>
        <rFont val="Angsana New"/>
        <family val="1"/>
      </rPr>
      <t xml:space="preserve">     ส่งคืนและส่วนลดรับ</t>
    </r>
  </si>
  <si>
    <t xml:space="preserve"> =      วัตถุดิบที่มีไว้ใช้ในการผลิต</t>
  </si>
  <si>
    <r>
      <t xml:space="preserve">หัก </t>
    </r>
    <r>
      <rPr>
        <sz val="16"/>
        <rFont val="Angsana New"/>
        <family val="1"/>
      </rPr>
      <t xml:space="preserve">   วัตถุดิบคงเหลือปลายงวด</t>
    </r>
  </si>
  <si>
    <r>
      <t>บวก</t>
    </r>
    <r>
      <rPr>
        <sz val="16"/>
        <rFont val="Angsana New"/>
        <family val="1"/>
      </rPr>
      <t xml:space="preserve">  ค่าแรงงานในการผลิตผันแปร</t>
    </r>
  </si>
  <si>
    <r>
      <t>บวก</t>
    </r>
    <r>
      <rPr>
        <sz val="16"/>
        <rFont val="Angsana New"/>
        <family val="1"/>
      </rPr>
      <t xml:space="preserve">  ค่าแรงงานในการผลิตคงที่</t>
    </r>
  </si>
  <si>
    <r>
      <t>บวก</t>
    </r>
    <r>
      <rPr>
        <sz val="16"/>
        <rFont val="Angsana New"/>
        <family val="1"/>
      </rPr>
      <t xml:space="preserve">  ค่าใช้จ่ายโรงงานในการผลิตผันแปร</t>
    </r>
  </si>
  <si>
    <r>
      <t>บวก</t>
    </r>
    <r>
      <rPr>
        <sz val="16"/>
        <rFont val="Angsana New"/>
        <family val="1"/>
      </rPr>
      <t xml:space="preserve">  ค่าใช้จ่ายโรงงานในการผลิตคงที่</t>
    </r>
  </si>
  <si>
    <r>
      <t>บวก</t>
    </r>
    <r>
      <rPr>
        <sz val="16"/>
        <rFont val="Angsana New"/>
        <family val="1"/>
      </rPr>
      <t xml:space="preserve">  ค่าเสื่อมราคาสินทรัพย์ถาวรที่ใช้ในการผลิต</t>
    </r>
  </si>
  <si>
    <t>บวก  งานระหว่างทำต้นงวด</t>
  </si>
  <si>
    <t>หัก    งานระหว่างทำปลายงวด</t>
  </si>
  <si>
    <t>บวก  สินค้าสำเร็จรูปต้นงวด</t>
  </si>
  <si>
    <t>หัก   สินค้าสำเร็จรูปปลายงวด</t>
  </si>
  <si>
    <t>**=  ต้นทุนสินค้าขาย**</t>
  </si>
  <si>
    <t>ก่อนดำเนินการ</t>
  </si>
  <si>
    <t>เงินสดรับจริง</t>
  </si>
  <si>
    <t>เงินสดจ่าย จริง</t>
  </si>
  <si>
    <t>จ่ายในการดำเนินงาน</t>
  </si>
  <si>
    <t>ซื้อวัตถุดิบ</t>
  </si>
  <si>
    <t>ซื้อวัสดุสิ้นเปลือง</t>
  </si>
  <si>
    <t>ซื้อสินค้า</t>
  </si>
  <si>
    <t>ค่าขนส่งเข้าจากการซื้อสินค้า</t>
  </si>
  <si>
    <t>ค่าขนส่งออกในการขายสินค้า</t>
  </si>
  <si>
    <t>ค่าแรงงานในการผลิต/บริการผันแปร</t>
  </si>
  <si>
    <t>ค่าแรงงานในการผลิต/บริการคงที่</t>
  </si>
  <si>
    <t>ค่าใช้จ่ายโรงงาน/บริการอื่น ๆ ผันแปร(ไม่รวมค่าเสื่อมราคา)</t>
  </si>
  <si>
    <t>ค่าใช้จ่ายโรงงาน/บริการอื่น ๆคงที่  (ไม่รวมค่าเสื่อมราคา)</t>
  </si>
  <si>
    <t>ค่าภาษีจ่าย</t>
  </si>
  <si>
    <t>จ่ายในการลงทุน</t>
  </si>
  <si>
    <t xml:space="preserve">   ซื้อที่ดิน</t>
  </si>
  <si>
    <t xml:space="preserve">   ซื้ออาคาร</t>
  </si>
  <si>
    <t xml:space="preserve">   ซื้อเครื่องใช้สำนักงาน</t>
  </si>
  <si>
    <t xml:space="preserve">  ซื้อสินทรัพย์ถาวรอื่นๆ</t>
  </si>
  <si>
    <t xml:space="preserve">  จ่ายรายจ่ายในการเตรียมการ</t>
  </si>
  <si>
    <t xml:space="preserve">  จ่ายค่าสิทธิในการใช้สินทรัพย์ระยะยาว</t>
  </si>
  <si>
    <t>เงินสดสุทธิ  =  (1) –  (2)</t>
  </si>
  <si>
    <t>งบประมาณ  งบดุล  (งบแสดงฐานะการเงิน)</t>
  </si>
  <si>
    <t xml:space="preserve">    ลูกหนี้การค้า</t>
  </si>
  <si>
    <t xml:space="preserve">    สินค้าสำเร็จรูป</t>
  </si>
  <si>
    <t xml:space="preserve">    งานระหว่างทำ</t>
  </si>
  <si>
    <t xml:space="preserve">    วัตถุดิบคงคลัง</t>
  </si>
  <si>
    <t xml:space="preserve">    วัสดุสิ้นเปลือง</t>
  </si>
  <si>
    <t>(2)สินทรัพย์ถาวร</t>
  </si>
  <si>
    <t xml:space="preserve">     ที่ดิน</t>
  </si>
  <si>
    <t xml:space="preserve">     อาคาร</t>
  </si>
  <si>
    <t xml:space="preserve">     เครื่องจักร/อุปกรณ์</t>
  </si>
  <si>
    <t xml:space="preserve">     ยานพาหนะ</t>
  </si>
  <si>
    <t xml:space="preserve">     เครื่องใช้สำนักงาน</t>
  </si>
  <si>
    <t xml:space="preserve">     สินทรัพย์ถาวรอื่น ๆ (ระบุ)..........................</t>
  </si>
  <si>
    <t>(3)สินทรัพย์อื่น</t>
  </si>
  <si>
    <t xml:space="preserve">     สิทธิการใช้สินทรัพย์ระยะยาว</t>
  </si>
  <si>
    <t>(4)หนี้สิน</t>
  </si>
  <si>
    <t xml:space="preserve">     เจ้าหนี้การค้า</t>
  </si>
  <si>
    <t xml:space="preserve">     ภาษีค้างจ่าย</t>
  </si>
  <si>
    <t xml:space="preserve">     รายจ่ายอื่น ๆค้างจ่าย (ระบุ)..................</t>
  </si>
  <si>
    <t xml:space="preserve">     เงินกู้คงค้าง</t>
  </si>
  <si>
    <t>(5)ส่วนของเจ้าของ</t>
  </si>
  <si>
    <t xml:space="preserve">     ทุน-ของเจ้าของ  นาย....................</t>
  </si>
  <si>
    <t>หมายเหตุ        ยอดรวม (A) =  (B)   เสมอ</t>
  </si>
  <si>
    <t>งานระหว่างทำ</t>
  </si>
  <si>
    <t>1.2  งานระหว่างทำ(สินค้าที่ยังผลิตไม่เสร็จ)</t>
  </si>
  <si>
    <t>(1)สินทรัพย์หมุนเวียน</t>
  </si>
  <si>
    <t xml:space="preserve">     รายจ่ายในการเตรียมการรอตัดบัญชี</t>
  </si>
  <si>
    <t xml:space="preserve">             รวมส่วนของเจ้าของ (5)</t>
  </si>
  <si>
    <t xml:space="preserve">   ซื้อเครื่องจักร์/อุปกรณ์</t>
  </si>
  <si>
    <t xml:space="preserve">   ยานพาหนะ</t>
  </si>
  <si>
    <t>%</t>
  </si>
  <si>
    <t>ค่าใช้จ่ายผันแปร</t>
  </si>
  <si>
    <t>ค่าใช้จ่ายคงที่</t>
  </si>
  <si>
    <t>อัตรากำไรส่วนเกิน</t>
  </si>
  <si>
    <t>ปี 0</t>
  </si>
  <si>
    <t>ปี 1</t>
  </si>
  <si>
    <t>ปี 2</t>
  </si>
  <si>
    <t>ปี 3</t>
  </si>
  <si>
    <t>กระแสเงินสดรับสุทธิ</t>
  </si>
  <si>
    <t>เงินลงทุนและ</t>
  </si>
  <si>
    <t>มูลค่าเงินปัจจุบัน</t>
  </si>
  <si>
    <t>มูลค่าปัจจุบันสุทธิ (บาท)</t>
  </si>
  <si>
    <t>=</t>
  </si>
  <si>
    <t>จุดคุ้มทุน (บาท) =</t>
  </si>
  <si>
    <t>ต้นทุนคงที่รวม</t>
  </si>
  <si>
    <t>1. จุดคุ้มทุน (BEP)</t>
  </si>
  <si>
    <t>3. มูลค่าปัจจุบันสุทธิ (NPV)</t>
  </si>
  <si>
    <t>2. ระยะเวลาคืนทุน (PB)</t>
  </si>
  <si>
    <t>ระยะเวลาคืนทุน =</t>
  </si>
  <si>
    <t>เงินลงทุน</t>
  </si>
  <si>
    <t>ปี</t>
  </si>
  <si>
    <t>เงินสดรับเฉลี่ย 3 ปี</t>
  </si>
  <si>
    <t>4. อัตราผลตอบแทนจากการลงทุน (IRR)</t>
  </si>
  <si>
    <t>แบบที่ 1</t>
  </si>
  <si>
    <t>แบบที่ 2</t>
  </si>
  <si>
    <t>Discounted Payback Method</t>
  </si>
  <si>
    <t>Payback Period</t>
  </si>
  <si>
    <t>ปี                    =</t>
  </si>
  <si>
    <t>PVIF 6%</t>
  </si>
  <si>
    <t>อัตรากำไรส่วนเกิน=</t>
  </si>
  <si>
    <t xml:space="preserve">IRR= </t>
  </si>
  <si>
    <t>มูลค่าปัจจุบัน</t>
  </si>
  <si>
    <t xml:space="preserve">ผลต่างของมูลค่าปัจจุบัน เท่ากับ </t>
  </si>
  <si>
    <t>ผลต่างระหว่าง</t>
  </si>
  <si>
    <t>ผลตอบแทนจากการลงทุน (IRR) =</t>
  </si>
  <si>
    <t>เงินสดรับสุทธิ</t>
  </si>
  <si>
    <t>การวิเคราะห์งบการเงิน</t>
  </si>
  <si>
    <t>ค่าใช้จ่ายทางการบริหาร</t>
  </si>
  <si>
    <t>การวิเคราะห์อัตราส่วนทางการเงิน</t>
  </si>
  <si>
    <t>1.สภาพคล่อง</t>
  </si>
  <si>
    <t>สินทรัพย์หมุนเวียน</t>
  </si>
  <si>
    <t>หนี้สินหมุนเวียน</t>
  </si>
  <si>
    <t>สินค้าคงเหลือ</t>
  </si>
  <si>
    <t>เท่า</t>
  </si>
  <si>
    <t>2. ประสิทธิภาพในการใช้สินทรัพย์</t>
  </si>
  <si>
    <t>ขายเชื่อสุทธิ</t>
  </si>
  <si>
    <t>ลูกหนี้เฉลี่ย</t>
  </si>
  <si>
    <t>ครั้ง</t>
  </si>
  <si>
    <t>ต้นทุนสินค้าขาย</t>
  </si>
  <si>
    <t>สินค้าคงเหลือเฉลี่ย</t>
  </si>
  <si>
    <t>2.3 ระยะเวลาเรียกเก็บหนี้             =</t>
  </si>
  <si>
    <t>ยอดขาย</t>
  </si>
  <si>
    <t>วัน</t>
  </si>
  <si>
    <t>ขายสุทธิ</t>
  </si>
  <si>
    <t>2.4 ระยะเวลาขายสินค้า               =</t>
  </si>
  <si>
    <t>2.2 อัตราการหมุนของสินค้า          =</t>
  </si>
  <si>
    <t>2.1 อัตราการหมุนของลูกหนี้          =</t>
  </si>
  <si>
    <t>1.2 อัตราส่วนสินทรัพย์คล่องตัว     =</t>
  </si>
  <si>
    <t>1.1 อัตราส่วนเงินทุนหมุนเวียน       =</t>
  </si>
  <si>
    <t>2.5 อัตราการหมุนของสินทรัพย์รวม =</t>
  </si>
  <si>
    <t>สินทรัพย์รวม</t>
  </si>
  <si>
    <t>2.6 อัตราการหมุนของสินทรัพย์ถาวร =</t>
  </si>
  <si>
    <t>สินทรัพย์ถาวร</t>
  </si>
  <si>
    <t>3. ความสามารถในการบริหารงาน</t>
  </si>
  <si>
    <t>3.1 อัตราผลตอบแทนจากการลงทุน =</t>
  </si>
  <si>
    <t>กำไรสุทธิ</t>
  </si>
  <si>
    <t>สินทรัพย์ทั้งหมด</t>
  </si>
  <si>
    <t>3.2 อัตราตอบแทนจากส่วนของผู้ถือหุ้น=</t>
  </si>
  <si>
    <t>ส่วนของผู้ถือหุ้นทั้งหมด</t>
  </si>
  <si>
    <t>3.3 อัตรากำไรจากการดำเนินงาน    =</t>
  </si>
  <si>
    <t>กำไรจากการดำเนินงาน</t>
  </si>
  <si>
    <t>3.4 อัตรากำไรขั้นต้น                       =</t>
  </si>
  <si>
    <t>กำไรขั้นต้น</t>
  </si>
  <si>
    <t>3.5 อัตรากำไรสุทธิ                          =</t>
  </si>
  <si>
    <t xml:space="preserve">4. ความสามารถในการชำระหนี้              </t>
  </si>
  <si>
    <t>4.1 อัตราส่วนหนี้สิน                         =</t>
  </si>
  <si>
    <t>หนี้สินรวม</t>
  </si>
  <si>
    <t>4.2 อัตราส่วนแหล่งเงินทุน                =</t>
  </si>
  <si>
    <t>หนี้สินทั้งหมด</t>
  </si>
  <si>
    <t>ส่วนของผู้ถือหุ้น</t>
  </si>
  <si>
    <t>4.3 อัตราส่วนความสามารถจ่ายดอกเบี้ย=</t>
  </si>
  <si>
    <t>กำไรก่อนดอกเบี้ยและภาษี</t>
  </si>
  <si>
    <t>ดอกเบี้ยจ่าย</t>
  </si>
  <si>
    <t>7.1 งบต้นทุนโครงการและแหล่งที่มาของเงินทุน</t>
  </si>
  <si>
    <t>7.2   งบกำไรขาดทุน เปรียบเทียบ 3 ปี (สำหรับธุรกิจผลิตกรรม)</t>
  </si>
  <si>
    <t xml:space="preserve"> =      วัตถุดิบใช้ไป</t>
  </si>
  <si>
    <t xml:space="preserve"> =      ต้นทุนค่าใช้จ่ายในการผลิต</t>
  </si>
  <si>
    <t xml:space="preserve"> =      ต้นทุนการผลิตสินค้าสำเร็จรูป</t>
  </si>
  <si>
    <t xml:space="preserve"> =      ต้นทุนสินค้าสำเร็จรูปที่มีไว้ขาย</t>
  </si>
  <si>
    <t>ค่าเสื่อมราคา (แผนองค์กรและการจัดการ)</t>
  </si>
  <si>
    <t>7.3 งบกระแสเงินสดเปรียบเทียบ 3 ปี</t>
  </si>
  <si>
    <t xml:space="preserve">                     หมายเหตุ  จะต้องมียอด =  ข้อ 1.5 + 1.6 </t>
  </si>
  <si>
    <t xml:space="preserve">ยอดขาย - ค่าใช้จ่ายผันแปร </t>
  </si>
  <si>
    <t xml:space="preserve">ยอดขาย </t>
  </si>
  <si>
    <t>อัตราส่วนหนี้สิน : ส่วนของเจ้าของ</t>
  </si>
  <si>
    <t>รายได้ :</t>
  </si>
  <si>
    <t>7.4 งบประมาณงบดุล เปรียบเทียบ 3 ปี</t>
  </si>
  <si>
    <t>ชื่อกิจการ........................................................</t>
  </si>
  <si>
    <t>บาท</t>
  </si>
  <si>
    <t xml:space="preserve"> อัตราดอกเบี้ย </t>
  </si>
  <si>
    <t>ปีที่</t>
  </si>
  <si>
    <t xml:space="preserve"> เงินต้นคงค้าง </t>
  </si>
  <si>
    <t xml:space="preserve"> เงินต้นที่จ่ายปีละ </t>
  </si>
  <si>
    <t xml:space="preserve"> ดอกเบี้ยปีละ </t>
  </si>
  <si>
    <t xml:space="preserve"> รวมทั้งสิ้น </t>
  </si>
  <si>
    <t xml:space="preserve"> จ่ายต่อเดือน </t>
  </si>
  <si>
    <t xml:space="preserve"> จ่ายต่อปี </t>
  </si>
  <si>
    <r>
      <t xml:space="preserve">7.  แผนการเงิน  </t>
    </r>
    <r>
      <rPr>
        <b/>
        <sz val="18"/>
        <color indexed="10"/>
        <rFont val="Angsana New"/>
        <family val="1"/>
      </rPr>
      <t>กรอกข้อมูลเฉพาะช่องสีชมพู</t>
    </r>
  </si>
  <si>
    <r>
      <t xml:space="preserve"> 1. </t>
    </r>
    <r>
      <rPr>
        <b/>
        <u/>
        <sz val="16"/>
        <rFont val="Angsana New"/>
        <family val="1"/>
      </rPr>
      <t>เงินทุนหมุนเวียน</t>
    </r>
  </si>
  <si>
    <r>
      <t xml:space="preserve">2. </t>
    </r>
    <r>
      <rPr>
        <b/>
        <u/>
        <sz val="16"/>
        <rFont val="Angsana New"/>
        <family val="1"/>
      </rPr>
      <t>สินทรัพย์ถาวร</t>
    </r>
  </si>
  <si>
    <r>
      <t xml:space="preserve">3. </t>
    </r>
    <r>
      <rPr>
        <b/>
        <u/>
        <sz val="16"/>
        <rFont val="Angsana New"/>
        <family val="1"/>
      </rPr>
      <t>รายจ่ายก่อนการดำเนินงาน</t>
    </r>
  </si>
  <si>
    <t>A</t>
  </si>
  <si>
    <t>B</t>
  </si>
  <si>
    <t>C</t>
  </si>
  <si>
    <t>D</t>
  </si>
  <si>
    <t>รายจ่ายก่อนการดำเนินงาน (ตัดจ่าย)</t>
  </si>
  <si>
    <t xml:space="preserve">  =     กำไรจากการดำเนินงาน (5)=(3)-(4)</t>
  </si>
  <si>
    <t xml:space="preserve"> =     กำไรก่อนหักดอกเบี้ย</t>
  </si>
  <si>
    <t xml:space="preserve"> =     กำไรก่อนหักภาษีเงินได้</t>
  </si>
  <si>
    <t xml:space="preserve"> =     กำไร/ขาดทุน สุทธิ</t>
  </si>
  <si>
    <r>
      <t>**</t>
    </r>
    <r>
      <rPr>
        <u/>
        <sz val="16"/>
        <rFont val="Angsana New"/>
        <family val="1"/>
      </rPr>
      <t>หัก</t>
    </r>
    <r>
      <rPr>
        <sz val="16"/>
        <rFont val="Angsana New"/>
        <family val="1"/>
      </rPr>
      <t xml:space="preserve">  ต้นทุนสินค้าขาย**  (2)</t>
    </r>
  </si>
  <si>
    <r>
      <t xml:space="preserve"> =      </t>
    </r>
    <r>
      <rPr>
        <b/>
        <sz val="16"/>
        <rFont val="Angsana New"/>
        <family val="1"/>
      </rPr>
      <t>กำไรขั้นต้น  (3)=(1) – (2)</t>
    </r>
  </si>
  <si>
    <r>
      <t xml:space="preserve">หัก  </t>
    </r>
    <r>
      <rPr>
        <b/>
        <u/>
        <sz val="16"/>
        <rFont val="Angsana New"/>
        <family val="1"/>
      </rPr>
      <t>ค่าใช้จ่ายในการดำเนินงาน  :</t>
    </r>
  </si>
  <si>
    <r>
      <t>บวก</t>
    </r>
    <r>
      <rPr>
        <sz val="16"/>
        <rFont val="Angsana New"/>
        <family val="1"/>
      </rPr>
      <t xml:space="preserve">  รายได้อื่น</t>
    </r>
  </si>
  <si>
    <r>
      <t>หัก</t>
    </r>
    <r>
      <rPr>
        <sz val="16"/>
        <rFont val="Angsana New"/>
        <family val="1"/>
      </rPr>
      <t xml:space="preserve">  ดอกเบี้ยจ่าย</t>
    </r>
  </si>
  <si>
    <r>
      <t>หัก</t>
    </r>
    <r>
      <rPr>
        <sz val="16"/>
        <rFont val="Angsana New"/>
        <family val="1"/>
      </rPr>
      <t xml:space="preserve">  ภาษีเงินได้นิติบุคคล/  บุคคลธรรมดา</t>
    </r>
  </si>
  <si>
    <t>ขายสินค้า/บริการ(รับเป็นเงินสด)</t>
  </si>
  <si>
    <t>รับชำระหนี้(รับเป็นเงินสด)</t>
  </si>
  <si>
    <t>รายได้อื่น(รับเป็นเงินสด)</t>
  </si>
  <si>
    <r>
      <t xml:space="preserve">     </t>
    </r>
    <r>
      <rPr>
        <b/>
        <u/>
        <sz val="16"/>
        <rFont val="Angsana New"/>
        <family val="1"/>
      </rPr>
      <t>รวมเงินสดรับ  (1)</t>
    </r>
  </si>
  <si>
    <r>
      <t xml:space="preserve">     </t>
    </r>
    <r>
      <rPr>
        <b/>
        <u/>
        <sz val="16"/>
        <rFont val="Angsana New"/>
        <family val="1"/>
      </rPr>
      <t>รวมเงินสดจ่าย  (2)</t>
    </r>
  </si>
  <si>
    <r>
      <t>บวก</t>
    </r>
    <r>
      <rPr>
        <sz val="16"/>
        <rFont val="Angsana New"/>
        <family val="1"/>
      </rPr>
      <t xml:space="preserve">  เงินสด  (ยกมาจากงวดก่อน)</t>
    </r>
  </si>
  <si>
    <r>
      <t>บวก</t>
    </r>
    <r>
      <rPr>
        <sz val="16"/>
        <rFont val="Angsana New"/>
        <family val="1"/>
      </rPr>
      <t xml:space="preserve">  ทุนของเจ้าของ</t>
    </r>
  </si>
  <si>
    <r>
      <t>บวก</t>
    </r>
    <r>
      <rPr>
        <sz val="16"/>
        <rFont val="Angsana New"/>
        <family val="1"/>
      </rPr>
      <t xml:space="preserve">   เงินกู้ </t>
    </r>
  </si>
  <si>
    <r>
      <t xml:space="preserve">  =    </t>
    </r>
    <r>
      <rPr>
        <b/>
        <u/>
        <sz val="16"/>
        <rFont val="Angsana New"/>
        <family val="1"/>
      </rPr>
      <t>เงินสดคงเหลือ    สุทธิ    (ยกไป)</t>
    </r>
  </si>
  <si>
    <t>ประมาณการ งบกระแสเงินสด  รายปี พ.ศ. ……….. ถึง พ.ศ. ……….</t>
  </si>
  <si>
    <t>สำหรับปี ……………..ถึงปี …………..</t>
  </si>
  <si>
    <t>เช็คงบA - B</t>
  </si>
  <si>
    <r>
      <t xml:space="preserve">                         </t>
    </r>
    <r>
      <rPr>
        <b/>
        <u/>
        <sz val="16"/>
        <rFont val="Angsana New"/>
        <family val="1"/>
      </rPr>
      <t>สินทรัพย์</t>
    </r>
  </si>
  <si>
    <r>
      <t xml:space="preserve">     </t>
    </r>
    <r>
      <rPr>
        <sz val="16"/>
        <rFont val="Angsana New"/>
        <family val="1"/>
      </rPr>
      <t>เงินสดและเงินฝากธนาคาร</t>
    </r>
  </si>
  <si>
    <r>
      <t xml:space="preserve">         </t>
    </r>
    <r>
      <rPr>
        <b/>
        <sz val="16"/>
        <rFont val="Angsana New"/>
        <family val="1"/>
      </rPr>
      <t>รวมสินทรัพย์หมุนเวียน  (1)</t>
    </r>
  </si>
  <si>
    <r>
      <t xml:space="preserve">     </t>
    </r>
    <r>
      <rPr>
        <u/>
        <sz val="16"/>
        <rFont val="Angsana New"/>
        <family val="1"/>
      </rPr>
      <t>หัก</t>
    </r>
    <r>
      <rPr>
        <sz val="16"/>
        <rFont val="Angsana New"/>
        <family val="1"/>
      </rPr>
      <t xml:space="preserve">  ค่าเสื่อมราคา</t>
    </r>
    <r>
      <rPr>
        <u/>
        <sz val="16"/>
        <rFont val="Angsana New"/>
        <family val="1"/>
      </rPr>
      <t>สะสม</t>
    </r>
  </si>
  <si>
    <r>
      <t xml:space="preserve">           </t>
    </r>
    <r>
      <rPr>
        <b/>
        <sz val="16"/>
        <rFont val="Angsana New"/>
        <family val="1"/>
      </rPr>
      <t>รวมสินทรัพย์ถาวร (2)</t>
    </r>
  </si>
  <si>
    <r>
      <t xml:space="preserve">        </t>
    </r>
    <r>
      <rPr>
        <b/>
        <sz val="16"/>
        <rFont val="Angsana New"/>
        <family val="1"/>
      </rPr>
      <t xml:space="preserve">  รวมสินทรัพย์ อื่น ๆ (3)</t>
    </r>
  </si>
  <si>
    <r>
      <t xml:space="preserve">               </t>
    </r>
    <r>
      <rPr>
        <b/>
        <sz val="16"/>
        <rFont val="Angsana New"/>
        <family val="1"/>
      </rPr>
      <t>หนี้สินและส่วนของเจ้าของ</t>
    </r>
  </si>
  <si>
    <r>
      <t xml:space="preserve">          </t>
    </r>
    <r>
      <rPr>
        <b/>
        <sz val="16"/>
        <rFont val="Angsana New"/>
        <family val="1"/>
      </rPr>
      <t>รวมหนี้สิน (4)</t>
    </r>
  </si>
  <si>
    <r>
      <t xml:space="preserve">     บวก  กำไร/หัก ขาดทุน </t>
    </r>
    <r>
      <rPr>
        <u/>
        <sz val="16"/>
        <rFont val="Angsana New"/>
        <family val="1"/>
      </rPr>
      <t>สะสม</t>
    </r>
  </si>
  <si>
    <r>
      <t>บวก</t>
    </r>
    <r>
      <rPr>
        <sz val="16"/>
        <rFont val="Angsana New"/>
        <family val="1"/>
      </rPr>
      <t xml:space="preserve"> วัสดุสิ้นเปลืองที่ใช้ในการผลิต</t>
    </r>
  </si>
  <si>
    <t>คำนวณเงินกู้ระยะสั้น</t>
  </si>
  <si>
    <t xml:space="preserve"> </t>
  </si>
  <si>
    <r>
      <t>บวก</t>
    </r>
    <r>
      <rPr>
        <sz val="16"/>
        <rFont val="Angsana New"/>
        <family val="1"/>
      </rPr>
      <t xml:space="preserve">   เจ้าหนี้การค้า(หนี้ระยะสั้น)</t>
    </r>
  </si>
  <si>
    <r>
      <t xml:space="preserve">หัก </t>
    </r>
    <r>
      <rPr>
        <sz val="16"/>
        <rFont val="Angsana New"/>
        <family val="1"/>
      </rPr>
      <t>จ่ายชำระเงินต้นเจ้าหนี้การค้า</t>
    </r>
  </si>
  <si>
    <r>
      <t xml:space="preserve">หัก </t>
    </r>
    <r>
      <rPr>
        <sz val="16"/>
        <rFont val="Angsana New"/>
        <family val="1"/>
      </rPr>
      <t>จ่ายชำระดอกเบี้ยเจ้าหนี้การค้า</t>
    </r>
  </si>
  <si>
    <r>
      <t>หัก</t>
    </r>
    <r>
      <rPr>
        <sz val="16"/>
        <rFont val="Angsana New"/>
        <family val="1"/>
      </rPr>
      <t xml:space="preserve">    จ่ายชำระคืนเงินกู้ระยะยาว</t>
    </r>
  </si>
  <si>
    <r>
      <t>หัก</t>
    </r>
    <r>
      <rPr>
        <sz val="16"/>
        <rFont val="Angsana New"/>
        <family val="1"/>
      </rPr>
      <t xml:space="preserve">    จ่ายชำระดอกเบี้ยเงินกู้ระยะยาว</t>
    </r>
  </si>
  <si>
    <r>
      <t>(A)</t>
    </r>
    <r>
      <rPr>
        <sz val="16"/>
        <color rgb="FFFF0000"/>
        <rFont val="Angsana New"/>
        <family val="1"/>
      </rPr>
      <t xml:space="preserve">     </t>
    </r>
    <r>
      <rPr>
        <b/>
        <sz val="16"/>
        <color rgb="FFFF0000"/>
        <rFont val="Angsana New"/>
        <family val="1"/>
      </rPr>
      <t>รวมสินทรัพย์ทั้งสิ้น = (1) + (2) + (3)</t>
    </r>
  </si>
  <si>
    <r>
      <t>(B)</t>
    </r>
    <r>
      <rPr>
        <sz val="16"/>
        <color rgb="FFFF0000"/>
        <rFont val="Angsana New"/>
        <family val="1"/>
      </rPr>
      <t xml:space="preserve">   </t>
    </r>
    <r>
      <rPr>
        <b/>
        <sz val="16"/>
        <color rgb="FFFF0000"/>
        <rFont val="Angsana New"/>
        <family val="1"/>
      </rPr>
      <t>รวมหนี้สินและส่วนของเจ้าของ =(4) + 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</si>
</sst>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_-* #,##0.000_-;\-* #,##0.000_-;_-* &quot;-&quot;??_-;_-@_-"/>
    <numFmt numFmtId="189" formatCode="0.000"/>
  </numFmts>
  <fonts count="15" x14ac:knownFonts="1">
    <font>
      <sz val="10"/>
      <name val="Arial"/>
      <charset val="222"/>
    </font>
    <font>
      <sz val="10"/>
      <name val="Arial"/>
      <charset val="222"/>
    </font>
    <font>
      <b/>
      <u/>
      <sz val="16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sz val="8"/>
      <name val="Arial"/>
      <charset val="222"/>
    </font>
    <font>
      <b/>
      <sz val="9"/>
      <name val="Arial"/>
      <family val="2"/>
    </font>
    <font>
      <sz val="9"/>
      <name val="Arial"/>
      <family val="2"/>
    </font>
    <font>
      <b/>
      <sz val="18"/>
      <color indexed="10"/>
      <name val="Angsana New"/>
      <family val="1"/>
    </font>
    <font>
      <sz val="10"/>
      <name val="Angsana New"/>
      <family val="1"/>
    </font>
    <font>
      <u val="singleAccounting"/>
      <sz val="16"/>
      <name val="Angsana New"/>
      <family val="1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  <font>
      <b/>
      <sz val="2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43" fontId="2" fillId="0" borderId="0" xfId="1" applyFont="1" applyAlignment="1">
      <alignment horizontal="left" indent="4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8" fillId="3" borderId="0" xfId="0" applyFont="1" applyFill="1"/>
    <xf numFmtId="0" fontId="7" fillId="2" borderId="0" xfId="0" applyFont="1" applyFill="1" applyAlignment="1">
      <alignment horizontal="center"/>
    </xf>
    <xf numFmtId="0" fontId="7" fillId="3" borderId="0" xfId="0" applyFont="1" applyFill="1"/>
    <xf numFmtId="0" fontId="3" fillId="0" borderId="0" xfId="0" applyFont="1" applyFill="1" applyBorder="1" applyAlignment="1">
      <alignment horizontal="left"/>
    </xf>
    <xf numFmtId="0" fontId="10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43" fontId="3" fillId="0" borderId="1" xfId="1" applyFont="1" applyFill="1" applyBorder="1" applyAlignment="1">
      <alignment horizontal="center" vertical="top" wrapText="1"/>
    </xf>
    <xf numFmtId="43" fontId="3" fillId="0" borderId="2" xfId="1" applyFont="1" applyFill="1" applyBorder="1" applyAlignment="1">
      <alignment horizontal="center" vertical="top" wrapText="1"/>
    </xf>
    <xf numFmtId="43" fontId="3" fillId="0" borderId="3" xfId="1" applyFont="1" applyFill="1" applyBorder="1" applyAlignment="1">
      <alignment horizontal="center" vertical="top" wrapText="1"/>
    </xf>
    <xf numFmtId="43" fontId="3" fillId="0" borderId="4" xfId="1" applyFont="1" applyFill="1" applyBorder="1" applyAlignment="1">
      <alignment horizontal="center" vertical="top" wrapText="1"/>
    </xf>
    <xf numFmtId="43" fontId="3" fillId="0" borderId="5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3" fontId="4" fillId="0" borderId="1" xfId="1" applyFont="1" applyFill="1" applyBorder="1" applyAlignment="1">
      <alignment vertical="top" wrapText="1"/>
    </xf>
    <xf numFmtId="43" fontId="4" fillId="0" borderId="5" xfId="1" applyFont="1" applyFill="1" applyBorder="1" applyAlignment="1">
      <alignment vertical="top" wrapText="1"/>
    </xf>
    <xf numFmtId="43" fontId="4" fillId="4" borderId="1" xfId="1" applyFont="1" applyFill="1" applyBorder="1" applyAlignment="1">
      <alignment vertical="top" wrapText="1"/>
    </xf>
    <xf numFmtId="43" fontId="4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3" fontId="4" fillId="4" borderId="1" xfId="1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43" fontId="4" fillId="0" borderId="0" xfId="1" applyFont="1"/>
    <xf numFmtId="0" fontId="4" fillId="0" borderId="1" xfId="0" applyFont="1" applyFill="1" applyBorder="1"/>
    <xf numFmtId="0" fontId="4" fillId="5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5" borderId="0" xfId="0" applyFont="1" applyFill="1" applyBorder="1"/>
    <xf numFmtId="43" fontId="4" fillId="0" borderId="0" xfId="1" applyFont="1" applyAlignment="1">
      <alignment horizontal="center"/>
    </xf>
    <xf numFmtId="0" fontId="10" fillId="0" borderId="0" xfId="0" applyFont="1" applyFill="1"/>
    <xf numFmtId="0" fontId="3" fillId="0" borderId="0" xfId="0" applyFont="1" applyFill="1" applyAlignment="1">
      <alignment horizontal="left"/>
    </xf>
    <xf numFmtId="43" fontId="4" fillId="0" borderId="0" xfId="1" applyFont="1" applyFill="1"/>
    <xf numFmtId="43" fontId="4" fillId="0" borderId="0" xfId="1" applyNumberFormat="1" applyFont="1" applyFill="1"/>
    <xf numFmtId="0" fontId="4" fillId="0" borderId="0" xfId="0" applyFont="1" applyFill="1"/>
    <xf numFmtId="0" fontId="3" fillId="0" borderId="0" xfId="0" applyFont="1" applyFill="1"/>
    <xf numFmtId="43" fontId="4" fillId="0" borderId="1" xfId="1" applyNumberFormat="1" applyFont="1" applyFill="1" applyBorder="1" applyAlignment="1">
      <alignment horizontal="center"/>
    </xf>
    <xf numFmtId="43" fontId="4" fillId="0" borderId="1" xfId="1" applyNumberFormat="1" applyFont="1" applyFill="1" applyBorder="1"/>
    <xf numFmtId="188" fontId="4" fillId="0" borderId="0" xfId="1" applyNumberFormat="1" applyFont="1"/>
    <xf numFmtId="43" fontId="2" fillId="0" borderId="0" xfId="1" applyFont="1" applyFill="1" applyAlignment="1"/>
    <xf numFmtId="0" fontId="4" fillId="0" borderId="1" xfId="0" applyFont="1" applyFill="1" applyBorder="1" applyAlignment="1">
      <alignment horizontal="left" vertical="top" wrapText="1" indent="1"/>
    </xf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left" indent="4"/>
    </xf>
    <xf numFmtId="43" fontId="3" fillId="0" borderId="0" xfId="1" applyFont="1" applyFill="1"/>
    <xf numFmtId="0" fontId="4" fillId="0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3" fontId="3" fillId="0" borderId="1" xfId="1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 wrapText="1"/>
    </xf>
    <xf numFmtId="187" fontId="4" fillId="0" borderId="1" xfId="1" applyNumberFormat="1" applyFont="1" applyFill="1" applyBorder="1"/>
    <xf numFmtId="43" fontId="3" fillId="0" borderId="0" xfId="1" applyFont="1" applyFill="1" applyBorder="1"/>
    <xf numFmtId="43" fontId="4" fillId="0" borderId="0" xfId="1" applyFont="1" applyFill="1" applyBorder="1"/>
    <xf numFmtId="187" fontId="4" fillId="0" borderId="0" xfId="1" applyNumberFormat="1" applyFont="1" applyFill="1" applyBorder="1"/>
    <xf numFmtId="43" fontId="3" fillId="0" borderId="0" xfId="1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87" fontId="4" fillId="0" borderId="1" xfId="1" applyNumberFormat="1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3" fontId="4" fillId="3" borderId="0" xfId="0" applyNumberFormat="1" applyFont="1" applyFill="1" applyBorder="1"/>
    <xf numFmtId="9" fontId="4" fillId="0" borderId="0" xfId="0" applyNumberFormat="1" applyFont="1"/>
    <xf numFmtId="43" fontId="4" fillId="0" borderId="0" xfId="0" applyNumberFormat="1" applyFont="1"/>
    <xf numFmtId="0" fontId="3" fillId="0" borderId="1" xfId="0" applyFont="1" applyFill="1" applyBorder="1" applyAlignment="1">
      <alignment horizontal="center"/>
    </xf>
    <xf numFmtId="43" fontId="4" fillId="0" borderId="1" xfId="0" applyNumberFormat="1" applyFont="1" applyFill="1" applyBorder="1"/>
    <xf numFmtId="2" fontId="4" fillId="0" borderId="1" xfId="0" applyNumberFormat="1" applyFont="1" applyFill="1" applyBorder="1"/>
    <xf numFmtId="0" fontId="3" fillId="0" borderId="6" xfId="0" applyFont="1" applyFill="1" applyBorder="1" applyAlignment="1">
      <alignment horizontal="right"/>
    </xf>
    <xf numFmtId="43" fontId="3" fillId="0" borderId="1" xfId="0" applyNumberFormat="1" applyFont="1" applyFill="1" applyBorder="1"/>
    <xf numFmtId="43" fontId="4" fillId="0" borderId="0" xfId="0" applyNumberFormat="1" applyFont="1" applyFill="1" applyBorder="1"/>
    <xf numFmtId="43" fontId="3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3" fontId="11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right"/>
    </xf>
    <xf numFmtId="43" fontId="11" fillId="0" borderId="0" xfId="0" applyNumberFormat="1" applyFont="1" applyFill="1" applyBorder="1" applyAlignment="1"/>
    <xf numFmtId="43" fontId="11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43" fontId="3" fillId="0" borderId="0" xfId="0" applyNumberFormat="1" applyFont="1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43" fontId="4" fillId="0" borderId="0" xfId="0" applyNumberFormat="1" applyFont="1" applyFill="1"/>
    <xf numFmtId="188" fontId="4" fillId="0" borderId="0" xfId="1" applyNumberFormat="1" applyFont="1" applyFill="1"/>
    <xf numFmtId="188" fontId="4" fillId="0" borderId="0" xfId="0" applyNumberFormat="1" applyFont="1" applyFill="1"/>
    <xf numFmtId="43" fontId="4" fillId="0" borderId="7" xfId="1" applyFont="1" applyFill="1" applyBorder="1"/>
    <xf numFmtId="43" fontId="3" fillId="0" borderId="8" xfId="0" applyNumberFormat="1" applyFont="1" applyFill="1" applyBorder="1"/>
    <xf numFmtId="9" fontId="4" fillId="0" borderId="7" xfId="0" applyNumberFormat="1" applyFont="1" applyFill="1" applyBorder="1" applyAlignment="1">
      <alignment horizontal="center"/>
    </xf>
    <xf numFmtId="189" fontId="4" fillId="0" borderId="0" xfId="0" applyNumberFormat="1" applyFont="1" applyFill="1" applyAlignment="1">
      <alignment horizontal="center"/>
    </xf>
    <xf numFmtId="43" fontId="4" fillId="0" borderId="7" xfId="0" applyNumberFormat="1" applyFont="1" applyFill="1" applyBorder="1"/>
    <xf numFmtId="43" fontId="4" fillId="0" borderId="8" xfId="0" applyNumberFormat="1" applyFont="1" applyFill="1" applyBorder="1"/>
    <xf numFmtId="9" fontId="4" fillId="0" borderId="0" xfId="0" applyNumberFormat="1" applyFont="1" applyFill="1"/>
    <xf numFmtId="43" fontId="3" fillId="0" borderId="0" xfId="0" applyNumberFormat="1" applyFont="1" applyFill="1"/>
    <xf numFmtId="0" fontId="8" fillId="0" borderId="0" xfId="0" applyFont="1" applyFill="1"/>
    <xf numFmtId="0" fontId="8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7" xfId="0" applyNumberFormat="1" applyFont="1" applyFill="1" applyBorder="1"/>
    <xf numFmtId="43" fontId="8" fillId="0" borderId="0" xfId="0" applyNumberFormat="1" applyFont="1" applyFill="1" applyBorder="1"/>
    <xf numFmtId="43" fontId="8" fillId="0" borderId="0" xfId="0" applyNumberFormat="1" applyFont="1" applyFill="1"/>
    <xf numFmtId="0" fontId="8" fillId="0" borderId="7" xfId="0" applyFont="1" applyFill="1" applyBorder="1"/>
    <xf numFmtId="1" fontId="8" fillId="0" borderId="7" xfId="0" applyNumberFormat="1" applyFont="1" applyFill="1" applyBorder="1"/>
    <xf numFmtId="0" fontId="8" fillId="0" borderId="0" xfId="0" applyFont="1" applyFill="1" applyBorder="1"/>
    <xf numFmtId="0" fontId="8" fillId="0" borderId="7" xfId="0" applyFont="1" applyFill="1" applyBorder="1" applyAlignment="1">
      <alignment horizontal="right"/>
    </xf>
    <xf numFmtId="2" fontId="8" fillId="0" borderId="7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12" fillId="0" borderId="1" xfId="0" applyFont="1" applyFill="1" applyBorder="1" applyAlignment="1">
      <alignment vertical="top" wrapText="1"/>
    </xf>
    <xf numFmtId="43" fontId="13" fillId="0" borderId="1" xfId="1" applyFont="1" applyFill="1" applyBorder="1" applyAlignment="1">
      <alignment vertical="top" wrapText="1"/>
    </xf>
    <xf numFmtId="187" fontId="13" fillId="0" borderId="1" xfId="1" applyNumberFormat="1" applyFont="1" applyFill="1" applyBorder="1"/>
    <xf numFmtId="0" fontId="14" fillId="0" borderId="0" xfId="0" applyFont="1" applyFill="1"/>
    <xf numFmtId="0" fontId="3" fillId="0" borderId="0" xfId="0" applyFont="1" applyFill="1" applyBorder="1" applyAlignment="1">
      <alignment horizontal="left"/>
    </xf>
    <xf numFmtId="43" fontId="3" fillId="0" borderId="1" xfId="1" applyFont="1" applyFill="1" applyBorder="1" applyAlignment="1">
      <alignment horizontal="center" vertical="top" wrapText="1"/>
    </xf>
    <xf numFmtId="43" fontId="3" fillId="0" borderId="9" xfId="1" applyFont="1" applyFill="1" applyBorder="1" applyAlignment="1">
      <alignment horizontal="center" vertical="top" wrapText="1"/>
    </xf>
    <xf numFmtId="43" fontId="3" fillId="0" borderId="2" xfId="1" applyFont="1" applyFill="1" applyBorder="1" applyAlignment="1">
      <alignment horizontal="center" vertical="top" wrapText="1"/>
    </xf>
    <xf numFmtId="43" fontId="3" fillId="0" borderId="10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5</xdr:col>
      <xdr:colOff>0</xdr:colOff>
      <xdr:row>32</xdr:row>
      <xdr:rowOff>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"/>
          <a:ext cx="5981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5</xdr:col>
      <xdr:colOff>0</xdr:colOff>
      <xdr:row>32</xdr:row>
      <xdr:rowOff>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"/>
          <a:ext cx="5981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5</xdr:col>
      <xdr:colOff>0</xdr:colOff>
      <xdr:row>32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"/>
          <a:ext cx="5981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2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3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4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43</xdr:row>
      <xdr:rowOff>9525</xdr:rowOff>
    </xdr:from>
    <xdr:to>
      <xdr:col>1</xdr:col>
      <xdr:colOff>476250</xdr:colOff>
      <xdr:row>43</xdr:row>
      <xdr:rowOff>161925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 flipV="1">
          <a:off x="3200400" y="11887200"/>
          <a:ext cx="95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466725</xdr:colOff>
      <xdr:row>43</xdr:row>
      <xdr:rowOff>152400</xdr:rowOff>
    </xdr:from>
    <xdr:to>
      <xdr:col>1</xdr:col>
      <xdr:colOff>666750</xdr:colOff>
      <xdr:row>43</xdr:row>
      <xdr:rowOff>152400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 flipV="1">
          <a:off x="3200400" y="120300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866775</xdr:colOff>
      <xdr:row>5</xdr:row>
      <xdr:rowOff>123825</xdr:rowOff>
    </xdr:from>
    <xdr:ext cx="142875" cy="200025"/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2895600" y="819150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_</a:t>
          </a:r>
        </a:p>
      </xdr:txBody>
    </xdr:sp>
    <xdr:clientData/>
  </xdr:oneCellAnchor>
  <xdr:oneCellAnchor>
    <xdr:from>
      <xdr:col>5</xdr:col>
      <xdr:colOff>28575</xdr:colOff>
      <xdr:row>23</xdr:row>
      <xdr:rowOff>9525</xdr:rowOff>
    </xdr:from>
    <xdr:ext cx="142875" cy="200025"/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3152775" y="288607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28</xdr:row>
      <xdr:rowOff>9525</xdr:rowOff>
    </xdr:from>
    <xdr:ext cx="142875" cy="200025"/>
    <xdr:sp macro="" textlink="">
      <xdr:nvSpPr>
        <xdr:cNvPr id="9221" name="Text Box 5"/>
        <xdr:cNvSpPr txBox="1">
          <a:spLocks noChangeArrowheads="1"/>
        </xdr:cNvSpPr>
      </xdr:nvSpPr>
      <xdr:spPr bwMode="auto">
        <a:xfrm>
          <a:off x="3152775" y="3524250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43</xdr:row>
      <xdr:rowOff>9525</xdr:rowOff>
    </xdr:from>
    <xdr:ext cx="142875" cy="200025"/>
    <xdr:sp macro="" textlink="">
      <xdr:nvSpPr>
        <xdr:cNvPr id="9224" name="Text Box 8"/>
        <xdr:cNvSpPr txBox="1">
          <a:spLocks noChangeArrowheads="1"/>
        </xdr:cNvSpPr>
      </xdr:nvSpPr>
      <xdr:spPr bwMode="auto">
        <a:xfrm>
          <a:off x="3152775" y="545782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48</xdr:row>
      <xdr:rowOff>9525</xdr:rowOff>
    </xdr:from>
    <xdr:ext cx="142875" cy="200025"/>
    <xdr:sp macro="" textlink="">
      <xdr:nvSpPr>
        <xdr:cNvPr id="9225" name="Text Box 9"/>
        <xdr:cNvSpPr txBox="1">
          <a:spLocks noChangeArrowheads="1"/>
        </xdr:cNvSpPr>
      </xdr:nvSpPr>
      <xdr:spPr bwMode="auto">
        <a:xfrm>
          <a:off x="3152775" y="604837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53</xdr:row>
      <xdr:rowOff>9525</xdr:rowOff>
    </xdr:from>
    <xdr:ext cx="142875" cy="200025"/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3152775" y="665797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58</xdr:row>
      <xdr:rowOff>9525</xdr:rowOff>
    </xdr:from>
    <xdr:ext cx="142875" cy="200025"/>
    <xdr:sp macro="" textlink="">
      <xdr:nvSpPr>
        <xdr:cNvPr id="9227" name="Text Box 11"/>
        <xdr:cNvSpPr txBox="1">
          <a:spLocks noChangeArrowheads="1"/>
        </xdr:cNvSpPr>
      </xdr:nvSpPr>
      <xdr:spPr bwMode="auto">
        <a:xfrm>
          <a:off x="3152775" y="726757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5</xdr:col>
      <xdr:colOff>28575</xdr:colOff>
      <xdr:row>63</xdr:row>
      <xdr:rowOff>9525</xdr:rowOff>
    </xdr:from>
    <xdr:ext cx="142875" cy="200025"/>
    <xdr:sp macro="" textlink="">
      <xdr:nvSpPr>
        <xdr:cNvPr id="9228" name="Text Box 12"/>
        <xdr:cNvSpPr txBox="1">
          <a:spLocks noChangeArrowheads="1"/>
        </xdr:cNvSpPr>
      </xdr:nvSpPr>
      <xdr:spPr bwMode="auto">
        <a:xfrm>
          <a:off x="3152775" y="7896225"/>
          <a:ext cx="142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oneCellAnchor>
  <xdr:oneCellAnchor>
    <xdr:from>
      <xdr:col>7</xdr:col>
      <xdr:colOff>0</xdr:colOff>
      <xdr:row>4</xdr:row>
      <xdr:rowOff>123825</xdr:rowOff>
    </xdr:from>
    <xdr:ext cx="152400" cy="200025"/>
    <xdr:sp macro="" textlink="">
      <xdr:nvSpPr>
        <xdr:cNvPr id="9229" name="Text Box 13"/>
        <xdr:cNvSpPr txBox="1">
          <a:spLocks noChangeArrowheads="1"/>
        </xdr:cNvSpPr>
      </xdr:nvSpPr>
      <xdr:spPr bwMode="auto">
        <a:xfrm>
          <a:off x="4048125" y="6858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</xdr:row>
      <xdr:rowOff>123825</xdr:rowOff>
    </xdr:from>
    <xdr:ext cx="152400" cy="200025"/>
    <xdr:sp macro="" textlink="">
      <xdr:nvSpPr>
        <xdr:cNvPr id="9231" name="Text Box 15"/>
        <xdr:cNvSpPr txBox="1">
          <a:spLocks noChangeArrowheads="1"/>
        </xdr:cNvSpPr>
      </xdr:nvSpPr>
      <xdr:spPr bwMode="auto">
        <a:xfrm>
          <a:off x="4972050" y="6858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4</xdr:row>
      <xdr:rowOff>123825</xdr:rowOff>
    </xdr:from>
    <xdr:ext cx="152400" cy="200025"/>
    <xdr:sp macro="" textlink="">
      <xdr:nvSpPr>
        <xdr:cNvPr id="9232" name="Text Box 16"/>
        <xdr:cNvSpPr txBox="1">
          <a:spLocks noChangeArrowheads="1"/>
        </xdr:cNvSpPr>
      </xdr:nvSpPr>
      <xdr:spPr bwMode="auto">
        <a:xfrm>
          <a:off x="5895975" y="6858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9</xdr:row>
      <xdr:rowOff>123825</xdr:rowOff>
    </xdr:from>
    <xdr:ext cx="152400" cy="200025"/>
    <xdr:sp macro="" textlink="">
      <xdr:nvSpPr>
        <xdr:cNvPr id="9233" name="Text Box 17"/>
        <xdr:cNvSpPr txBox="1">
          <a:spLocks noChangeArrowheads="1"/>
        </xdr:cNvSpPr>
      </xdr:nvSpPr>
      <xdr:spPr bwMode="auto">
        <a:xfrm>
          <a:off x="4048125" y="12858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9</xdr:row>
      <xdr:rowOff>123825</xdr:rowOff>
    </xdr:from>
    <xdr:ext cx="152400" cy="200025"/>
    <xdr:sp macro="" textlink="">
      <xdr:nvSpPr>
        <xdr:cNvPr id="9234" name="Text Box 18"/>
        <xdr:cNvSpPr txBox="1">
          <a:spLocks noChangeArrowheads="1"/>
        </xdr:cNvSpPr>
      </xdr:nvSpPr>
      <xdr:spPr bwMode="auto">
        <a:xfrm>
          <a:off x="4972050" y="12858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9</xdr:row>
      <xdr:rowOff>123825</xdr:rowOff>
    </xdr:from>
    <xdr:ext cx="152400" cy="200025"/>
    <xdr:sp macro="" textlink="">
      <xdr:nvSpPr>
        <xdr:cNvPr id="9235" name="Text Box 19"/>
        <xdr:cNvSpPr txBox="1">
          <a:spLocks noChangeArrowheads="1"/>
        </xdr:cNvSpPr>
      </xdr:nvSpPr>
      <xdr:spPr bwMode="auto">
        <a:xfrm>
          <a:off x="5895975" y="12858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20</xdr:row>
      <xdr:rowOff>123825</xdr:rowOff>
    </xdr:from>
    <xdr:ext cx="152400" cy="200025"/>
    <xdr:sp macro="" textlink="">
      <xdr:nvSpPr>
        <xdr:cNvPr id="9236" name="Text Box 20"/>
        <xdr:cNvSpPr txBox="1">
          <a:spLocks noChangeArrowheads="1"/>
        </xdr:cNvSpPr>
      </xdr:nvSpPr>
      <xdr:spPr bwMode="auto">
        <a:xfrm>
          <a:off x="4048125" y="26574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20</xdr:row>
      <xdr:rowOff>123825</xdr:rowOff>
    </xdr:from>
    <xdr:ext cx="152400" cy="200025"/>
    <xdr:sp macro="" textlink="">
      <xdr:nvSpPr>
        <xdr:cNvPr id="9237" name="Text Box 21"/>
        <xdr:cNvSpPr txBox="1">
          <a:spLocks noChangeArrowheads="1"/>
        </xdr:cNvSpPr>
      </xdr:nvSpPr>
      <xdr:spPr bwMode="auto">
        <a:xfrm>
          <a:off x="4972050" y="26574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20</xdr:row>
      <xdr:rowOff>123825</xdr:rowOff>
    </xdr:from>
    <xdr:ext cx="152400" cy="200025"/>
    <xdr:sp macro="" textlink="">
      <xdr:nvSpPr>
        <xdr:cNvPr id="9238" name="Text Box 22"/>
        <xdr:cNvSpPr txBox="1">
          <a:spLocks noChangeArrowheads="1"/>
        </xdr:cNvSpPr>
      </xdr:nvSpPr>
      <xdr:spPr bwMode="auto">
        <a:xfrm>
          <a:off x="5895975" y="26574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15</xdr:row>
      <xdr:rowOff>123825</xdr:rowOff>
    </xdr:from>
    <xdr:ext cx="152400" cy="200025"/>
    <xdr:sp macro="" textlink="">
      <xdr:nvSpPr>
        <xdr:cNvPr id="9239" name="Text Box 23"/>
        <xdr:cNvSpPr txBox="1">
          <a:spLocks noChangeArrowheads="1"/>
        </xdr:cNvSpPr>
      </xdr:nvSpPr>
      <xdr:spPr bwMode="auto">
        <a:xfrm>
          <a:off x="4048125" y="20574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15</xdr:row>
      <xdr:rowOff>123825</xdr:rowOff>
    </xdr:from>
    <xdr:ext cx="152400" cy="200025"/>
    <xdr:sp macro="" textlink="">
      <xdr:nvSpPr>
        <xdr:cNvPr id="9240" name="Text Box 24"/>
        <xdr:cNvSpPr txBox="1">
          <a:spLocks noChangeArrowheads="1"/>
        </xdr:cNvSpPr>
      </xdr:nvSpPr>
      <xdr:spPr bwMode="auto">
        <a:xfrm>
          <a:off x="4972050" y="20574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15</xdr:row>
      <xdr:rowOff>123825</xdr:rowOff>
    </xdr:from>
    <xdr:ext cx="152400" cy="200025"/>
    <xdr:sp macro="" textlink="">
      <xdr:nvSpPr>
        <xdr:cNvPr id="9241" name="Text Box 25"/>
        <xdr:cNvSpPr txBox="1">
          <a:spLocks noChangeArrowheads="1"/>
        </xdr:cNvSpPr>
      </xdr:nvSpPr>
      <xdr:spPr bwMode="auto">
        <a:xfrm>
          <a:off x="5895975" y="20574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25</xdr:row>
      <xdr:rowOff>123825</xdr:rowOff>
    </xdr:from>
    <xdr:ext cx="152400" cy="200025"/>
    <xdr:sp macro="" textlink="">
      <xdr:nvSpPr>
        <xdr:cNvPr id="9242" name="Text Box 26"/>
        <xdr:cNvSpPr txBox="1">
          <a:spLocks noChangeArrowheads="1"/>
        </xdr:cNvSpPr>
      </xdr:nvSpPr>
      <xdr:spPr bwMode="auto">
        <a:xfrm>
          <a:off x="4048125" y="32956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25</xdr:row>
      <xdr:rowOff>123825</xdr:rowOff>
    </xdr:from>
    <xdr:ext cx="152400" cy="200025"/>
    <xdr:sp macro="" textlink="">
      <xdr:nvSpPr>
        <xdr:cNvPr id="9243" name="Text Box 27"/>
        <xdr:cNvSpPr txBox="1">
          <a:spLocks noChangeArrowheads="1"/>
        </xdr:cNvSpPr>
      </xdr:nvSpPr>
      <xdr:spPr bwMode="auto">
        <a:xfrm>
          <a:off x="4972050" y="32956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25</xdr:row>
      <xdr:rowOff>123825</xdr:rowOff>
    </xdr:from>
    <xdr:ext cx="152400" cy="200025"/>
    <xdr:sp macro="" textlink="">
      <xdr:nvSpPr>
        <xdr:cNvPr id="9244" name="Text Box 28"/>
        <xdr:cNvSpPr txBox="1">
          <a:spLocks noChangeArrowheads="1"/>
        </xdr:cNvSpPr>
      </xdr:nvSpPr>
      <xdr:spPr bwMode="auto">
        <a:xfrm>
          <a:off x="5895975" y="32956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30</xdr:row>
      <xdr:rowOff>123825</xdr:rowOff>
    </xdr:from>
    <xdr:ext cx="152400" cy="200025"/>
    <xdr:sp macro="" textlink="">
      <xdr:nvSpPr>
        <xdr:cNvPr id="9245" name="Text Box 29"/>
        <xdr:cNvSpPr txBox="1">
          <a:spLocks noChangeArrowheads="1"/>
        </xdr:cNvSpPr>
      </xdr:nvSpPr>
      <xdr:spPr bwMode="auto">
        <a:xfrm>
          <a:off x="4048125" y="39052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30</xdr:row>
      <xdr:rowOff>123825</xdr:rowOff>
    </xdr:from>
    <xdr:ext cx="152400" cy="200025"/>
    <xdr:sp macro="" textlink="">
      <xdr:nvSpPr>
        <xdr:cNvPr id="9246" name="Text Box 30"/>
        <xdr:cNvSpPr txBox="1">
          <a:spLocks noChangeArrowheads="1"/>
        </xdr:cNvSpPr>
      </xdr:nvSpPr>
      <xdr:spPr bwMode="auto">
        <a:xfrm>
          <a:off x="4972050" y="39052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30</xdr:row>
      <xdr:rowOff>123825</xdr:rowOff>
    </xdr:from>
    <xdr:ext cx="152400" cy="200025"/>
    <xdr:sp macro="" textlink="">
      <xdr:nvSpPr>
        <xdr:cNvPr id="9247" name="Text Box 31"/>
        <xdr:cNvSpPr txBox="1">
          <a:spLocks noChangeArrowheads="1"/>
        </xdr:cNvSpPr>
      </xdr:nvSpPr>
      <xdr:spPr bwMode="auto">
        <a:xfrm>
          <a:off x="5895975" y="39052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35</xdr:row>
      <xdr:rowOff>123825</xdr:rowOff>
    </xdr:from>
    <xdr:ext cx="152400" cy="200025"/>
    <xdr:sp macro="" textlink="">
      <xdr:nvSpPr>
        <xdr:cNvPr id="9248" name="Text Box 32"/>
        <xdr:cNvSpPr txBox="1">
          <a:spLocks noChangeArrowheads="1"/>
        </xdr:cNvSpPr>
      </xdr:nvSpPr>
      <xdr:spPr bwMode="auto">
        <a:xfrm>
          <a:off x="4048125" y="45148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35</xdr:row>
      <xdr:rowOff>123825</xdr:rowOff>
    </xdr:from>
    <xdr:ext cx="152400" cy="200025"/>
    <xdr:sp macro="" textlink="">
      <xdr:nvSpPr>
        <xdr:cNvPr id="9249" name="Text Box 33"/>
        <xdr:cNvSpPr txBox="1">
          <a:spLocks noChangeArrowheads="1"/>
        </xdr:cNvSpPr>
      </xdr:nvSpPr>
      <xdr:spPr bwMode="auto">
        <a:xfrm>
          <a:off x="4972050" y="45148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35</xdr:row>
      <xdr:rowOff>123825</xdr:rowOff>
    </xdr:from>
    <xdr:ext cx="152400" cy="200025"/>
    <xdr:sp macro="" textlink="">
      <xdr:nvSpPr>
        <xdr:cNvPr id="9250" name="Text Box 34"/>
        <xdr:cNvSpPr txBox="1">
          <a:spLocks noChangeArrowheads="1"/>
        </xdr:cNvSpPr>
      </xdr:nvSpPr>
      <xdr:spPr bwMode="auto">
        <a:xfrm>
          <a:off x="5895975" y="45148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40</xdr:row>
      <xdr:rowOff>123825</xdr:rowOff>
    </xdr:from>
    <xdr:ext cx="152400" cy="200025"/>
    <xdr:sp macro="" textlink="">
      <xdr:nvSpPr>
        <xdr:cNvPr id="9251" name="Text Box 35"/>
        <xdr:cNvSpPr txBox="1">
          <a:spLocks noChangeArrowheads="1"/>
        </xdr:cNvSpPr>
      </xdr:nvSpPr>
      <xdr:spPr bwMode="auto">
        <a:xfrm>
          <a:off x="4048125" y="51244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40</xdr:row>
      <xdr:rowOff>123825</xdr:rowOff>
    </xdr:from>
    <xdr:ext cx="152400" cy="200025"/>
    <xdr:sp macro="" textlink="">
      <xdr:nvSpPr>
        <xdr:cNvPr id="9252" name="Text Box 36"/>
        <xdr:cNvSpPr txBox="1">
          <a:spLocks noChangeArrowheads="1"/>
        </xdr:cNvSpPr>
      </xdr:nvSpPr>
      <xdr:spPr bwMode="auto">
        <a:xfrm>
          <a:off x="4972050" y="51244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40</xdr:row>
      <xdr:rowOff>123825</xdr:rowOff>
    </xdr:from>
    <xdr:ext cx="152400" cy="200025"/>
    <xdr:sp macro="" textlink="">
      <xdr:nvSpPr>
        <xdr:cNvPr id="9253" name="Text Box 37"/>
        <xdr:cNvSpPr txBox="1">
          <a:spLocks noChangeArrowheads="1"/>
        </xdr:cNvSpPr>
      </xdr:nvSpPr>
      <xdr:spPr bwMode="auto">
        <a:xfrm>
          <a:off x="5895975" y="51244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45</xdr:row>
      <xdr:rowOff>123825</xdr:rowOff>
    </xdr:from>
    <xdr:ext cx="152400" cy="200025"/>
    <xdr:sp macro="" textlink="">
      <xdr:nvSpPr>
        <xdr:cNvPr id="9254" name="Text Box 38"/>
        <xdr:cNvSpPr txBox="1">
          <a:spLocks noChangeArrowheads="1"/>
        </xdr:cNvSpPr>
      </xdr:nvSpPr>
      <xdr:spPr bwMode="auto">
        <a:xfrm>
          <a:off x="4048125" y="58388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45</xdr:row>
      <xdr:rowOff>123825</xdr:rowOff>
    </xdr:from>
    <xdr:ext cx="152400" cy="200025"/>
    <xdr:sp macro="" textlink="">
      <xdr:nvSpPr>
        <xdr:cNvPr id="9255" name="Text Box 39"/>
        <xdr:cNvSpPr txBox="1">
          <a:spLocks noChangeArrowheads="1"/>
        </xdr:cNvSpPr>
      </xdr:nvSpPr>
      <xdr:spPr bwMode="auto">
        <a:xfrm>
          <a:off x="4972050" y="58388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45</xdr:row>
      <xdr:rowOff>123825</xdr:rowOff>
    </xdr:from>
    <xdr:ext cx="152400" cy="200025"/>
    <xdr:sp macro="" textlink="">
      <xdr:nvSpPr>
        <xdr:cNvPr id="9256" name="Text Box 40"/>
        <xdr:cNvSpPr txBox="1">
          <a:spLocks noChangeArrowheads="1"/>
        </xdr:cNvSpPr>
      </xdr:nvSpPr>
      <xdr:spPr bwMode="auto">
        <a:xfrm>
          <a:off x="5895975" y="58388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50</xdr:row>
      <xdr:rowOff>123825</xdr:rowOff>
    </xdr:from>
    <xdr:ext cx="152400" cy="200025"/>
    <xdr:sp macro="" textlink="">
      <xdr:nvSpPr>
        <xdr:cNvPr id="9257" name="Text Box 41"/>
        <xdr:cNvSpPr txBox="1">
          <a:spLocks noChangeArrowheads="1"/>
        </xdr:cNvSpPr>
      </xdr:nvSpPr>
      <xdr:spPr bwMode="auto">
        <a:xfrm>
          <a:off x="4048125" y="642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50</xdr:row>
      <xdr:rowOff>123825</xdr:rowOff>
    </xdr:from>
    <xdr:ext cx="152400" cy="200025"/>
    <xdr:sp macro="" textlink="">
      <xdr:nvSpPr>
        <xdr:cNvPr id="9258" name="Text Box 42"/>
        <xdr:cNvSpPr txBox="1">
          <a:spLocks noChangeArrowheads="1"/>
        </xdr:cNvSpPr>
      </xdr:nvSpPr>
      <xdr:spPr bwMode="auto">
        <a:xfrm>
          <a:off x="4972050" y="642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50</xdr:row>
      <xdr:rowOff>123825</xdr:rowOff>
    </xdr:from>
    <xdr:ext cx="152400" cy="200025"/>
    <xdr:sp macro="" textlink="">
      <xdr:nvSpPr>
        <xdr:cNvPr id="9259" name="Text Box 43"/>
        <xdr:cNvSpPr txBox="1">
          <a:spLocks noChangeArrowheads="1"/>
        </xdr:cNvSpPr>
      </xdr:nvSpPr>
      <xdr:spPr bwMode="auto">
        <a:xfrm>
          <a:off x="5895975" y="642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55</xdr:row>
      <xdr:rowOff>123825</xdr:rowOff>
    </xdr:from>
    <xdr:ext cx="152400" cy="200025"/>
    <xdr:sp macro="" textlink="">
      <xdr:nvSpPr>
        <xdr:cNvPr id="9260" name="Text Box 44"/>
        <xdr:cNvSpPr txBox="1">
          <a:spLocks noChangeArrowheads="1"/>
        </xdr:cNvSpPr>
      </xdr:nvSpPr>
      <xdr:spPr bwMode="auto">
        <a:xfrm>
          <a:off x="4048125" y="70389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55</xdr:row>
      <xdr:rowOff>123825</xdr:rowOff>
    </xdr:from>
    <xdr:ext cx="152400" cy="200025"/>
    <xdr:sp macro="" textlink="">
      <xdr:nvSpPr>
        <xdr:cNvPr id="9261" name="Text Box 45"/>
        <xdr:cNvSpPr txBox="1">
          <a:spLocks noChangeArrowheads="1"/>
        </xdr:cNvSpPr>
      </xdr:nvSpPr>
      <xdr:spPr bwMode="auto">
        <a:xfrm>
          <a:off x="4972050" y="70389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55</xdr:row>
      <xdr:rowOff>123825</xdr:rowOff>
    </xdr:from>
    <xdr:ext cx="152400" cy="200025"/>
    <xdr:sp macro="" textlink="">
      <xdr:nvSpPr>
        <xdr:cNvPr id="9262" name="Text Box 46"/>
        <xdr:cNvSpPr txBox="1">
          <a:spLocks noChangeArrowheads="1"/>
        </xdr:cNvSpPr>
      </xdr:nvSpPr>
      <xdr:spPr bwMode="auto">
        <a:xfrm>
          <a:off x="5895975" y="70389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60</xdr:row>
      <xdr:rowOff>123825</xdr:rowOff>
    </xdr:from>
    <xdr:ext cx="152400" cy="200025"/>
    <xdr:sp macro="" textlink="">
      <xdr:nvSpPr>
        <xdr:cNvPr id="9263" name="Text Box 47"/>
        <xdr:cNvSpPr txBox="1">
          <a:spLocks noChangeArrowheads="1"/>
        </xdr:cNvSpPr>
      </xdr:nvSpPr>
      <xdr:spPr bwMode="auto">
        <a:xfrm>
          <a:off x="4048125" y="76676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60</xdr:row>
      <xdr:rowOff>123825</xdr:rowOff>
    </xdr:from>
    <xdr:ext cx="152400" cy="200025"/>
    <xdr:sp macro="" textlink="">
      <xdr:nvSpPr>
        <xdr:cNvPr id="9264" name="Text Box 48"/>
        <xdr:cNvSpPr txBox="1">
          <a:spLocks noChangeArrowheads="1"/>
        </xdr:cNvSpPr>
      </xdr:nvSpPr>
      <xdr:spPr bwMode="auto">
        <a:xfrm>
          <a:off x="4972050" y="76676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60</xdr:row>
      <xdr:rowOff>123825</xdr:rowOff>
    </xdr:from>
    <xdr:ext cx="152400" cy="200025"/>
    <xdr:sp macro="" textlink="">
      <xdr:nvSpPr>
        <xdr:cNvPr id="9265" name="Text Box 49"/>
        <xdr:cNvSpPr txBox="1">
          <a:spLocks noChangeArrowheads="1"/>
        </xdr:cNvSpPr>
      </xdr:nvSpPr>
      <xdr:spPr bwMode="auto">
        <a:xfrm>
          <a:off x="5895975" y="76676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65</xdr:row>
      <xdr:rowOff>123825</xdr:rowOff>
    </xdr:from>
    <xdr:ext cx="152400" cy="200025"/>
    <xdr:sp macro="" textlink="">
      <xdr:nvSpPr>
        <xdr:cNvPr id="9266" name="Text Box 50"/>
        <xdr:cNvSpPr txBox="1">
          <a:spLocks noChangeArrowheads="1"/>
        </xdr:cNvSpPr>
      </xdr:nvSpPr>
      <xdr:spPr bwMode="auto">
        <a:xfrm>
          <a:off x="4048125" y="82772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65</xdr:row>
      <xdr:rowOff>123825</xdr:rowOff>
    </xdr:from>
    <xdr:ext cx="152400" cy="200025"/>
    <xdr:sp macro="" textlink="">
      <xdr:nvSpPr>
        <xdr:cNvPr id="9267" name="Text Box 51"/>
        <xdr:cNvSpPr txBox="1">
          <a:spLocks noChangeArrowheads="1"/>
        </xdr:cNvSpPr>
      </xdr:nvSpPr>
      <xdr:spPr bwMode="auto">
        <a:xfrm>
          <a:off x="4972050" y="82772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65</xdr:row>
      <xdr:rowOff>123825</xdr:rowOff>
    </xdr:from>
    <xdr:ext cx="152400" cy="200025"/>
    <xdr:sp macro="" textlink="">
      <xdr:nvSpPr>
        <xdr:cNvPr id="9268" name="Text Box 52"/>
        <xdr:cNvSpPr txBox="1">
          <a:spLocks noChangeArrowheads="1"/>
        </xdr:cNvSpPr>
      </xdr:nvSpPr>
      <xdr:spPr bwMode="auto">
        <a:xfrm>
          <a:off x="5895975" y="82772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70</xdr:row>
      <xdr:rowOff>123825</xdr:rowOff>
    </xdr:from>
    <xdr:ext cx="152400" cy="200025"/>
    <xdr:sp macro="" textlink="">
      <xdr:nvSpPr>
        <xdr:cNvPr id="9269" name="Text Box 53"/>
        <xdr:cNvSpPr txBox="1">
          <a:spLocks noChangeArrowheads="1"/>
        </xdr:cNvSpPr>
      </xdr:nvSpPr>
      <xdr:spPr bwMode="auto">
        <a:xfrm>
          <a:off x="4048125" y="90011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70</xdr:row>
      <xdr:rowOff>123825</xdr:rowOff>
    </xdr:from>
    <xdr:ext cx="152400" cy="200025"/>
    <xdr:sp macro="" textlink="">
      <xdr:nvSpPr>
        <xdr:cNvPr id="9270" name="Text Box 54"/>
        <xdr:cNvSpPr txBox="1">
          <a:spLocks noChangeArrowheads="1"/>
        </xdr:cNvSpPr>
      </xdr:nvSpPr>
      <xdr:spPr bwMode="auto">
        <a:xfrm>
          <a:off x="4972050" y="90011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70</xdr:row>
      <xdr:rowOff>123825</xdr:rowOff>
    </xdr:from>
    <xdr:ext cx="152400" cy="200025"/>
    <xdr:sp macro="" textlink="">
      <xdr:nvSpPr>
        <xdr:cNvPr id="9271" name="Text Box 55"/>
        <xdr:cNvSpPr txBox="1">
          <a:spLocks noChangeArrowheads="1"/>
        </xdr:cNvSpPr>
      </xdr:nvSpPr>
      <xdr:spPr bwMode="auto">
        <a:xfrm>
          <a:off x="5895975" y="90011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75</xdr:row>
      <xdr:rowOff>123825</xdr:rowOff>
    </xdr:from>
    <xdr:ext cx="152400" cy="200025"/>
    <xdr:sp macro="" textlink="">
      <xdr:nvSpPr>
        <xdr:cNvPr id="9272" name="Text Box 56"/>
        <xdr:cNvSpPr txBox="1">
          <a:spLocks noChangeArrowheads="1"/>
        </xdr:cNvSpPr>
      </xdr:nvSpPr>
      <xdr:spPr bwMode="auto">
        <a:xfrm>
          <a:off x="4048125" y="96107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75</xdr:row>
      <xdr:rowOff>123825</xdr:rowOff>
    </xdr:from>
    <xdr:ext cx="152400" cy="200025"/>
    <xdr:sp macro="" textlink="">
      <xdr:nvSpPr>
        <xdr:cNvPr id="9273" name="Text Box 57"/>
        <xdr:cNvSpPr txBox="1">
          <a:spLocks noChangeArrowheads="1"/>
        </xdr:cNvSpPr>
      </xdr:nvSpPr>
      <xdr:spPr bwMode="auto">
        <a:xfrm>
          <a:off x="4972050" y="96107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75</xdr:row>
      <xdr:rowOff>123825</xdr:rowOff>
    </xdr:from>
    <xdr:ext cx="152400" cy="200025"/>
    <xdr:sp macro="" textlink="">
      <xdr:nvSpPr>
        <xdr:cNvPr id="9274" name="Text Box 58"/>
        <xdr:cNvSpPr txBox="1">
          <a:spLocks noChangeArrowheads="1"/>
        </xdr:cNvSpPr>
      </xdr:nvSpPr>
      <xdr:spPr bwMode="auto">
        <a:xfrm>
          <a:off x="5895975" y="96107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7</xdr:col>
      <xdr:colOff>0</xdr:colOff>
      <xdr:row>80</xdr:row>
      <xdr:rowOff>123825</xdr:rowOff>
    </xdr:from>
    <xdr:ext cx="152400" cy="200025"/>
    <xdr:sp macro="" textlink="">
      <xdr:nvSpPr>
        <xdr:cNvPr id="9275" name="Text Box 59"/>
        <xdr:cNvSpPr txBox="1">
          <a:spLocks noChangeArrowheads="1"/>
        </xdr:cNvSpPr>
      </xdr:nvSpPr>
      <xdr:spPr bwMode="auto">
        <a:xfrm>
          <a:off x="4048125" y="1023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80</xdr:row>
      <xdr:rowOff>123825</xdr:rowOff>
    </xdr:from>
    <xdr:ext cx="152400" cy="200025"/>
    <xdr:sp macro="" textlink="">
      <xdr:nvSpPr>
        <xdr:cNvPr id="9276" name="Text Box 60"/>
        <xdr:cNvSpPr txBox="1">
          <a:spLocks noChangeArrowheads="1"/>
        </xdr:cNvSpPr>
      </xdr:nvSpPr>
      <xdr:spPr bwMode="auto">
        <a:xfrm>
          <a:off x="4972050" y="1023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11</xdr:col>
      <xdr:colOff>0</xdr:colOff>
      <xdr:row>80</xdr:row>
      <xdr:rowOff>123825</xdr:rowOff>
    </xdr:from>
    <xdr:ext cx="152400" cy="200025"/>
    <xdr:sp macro="" textlink="">
      <xdr:nvSpPr>
        <xdr:cNvPr id="9277" name="Text Box 61"/>
        <xdr:cNvSpPr txBox="1">
          <a:spLocks noChangeArrowheads="1"/>
        </xdr:cNvSpPr>
      </xdr:nvSpPr>
      <xdr:spPr bwMode="auto">
        <a:xfrm>
          <a:off x="5895975" y="1023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</xdr:row>
      <xdr:rowOff>123825</xdr:rowOff>
    </xdr:from>
    <xdr:ext cx="152400" cy="200025"/>
    <xdr:sp macro="" textlink="">
      <xdr:nvSpPr>
        <xdr:cNvPr id="9278" name="Text Box 62"/>
        <xdr:cNvSpPr txBox="1">
          <a:spLocks noChangeArrowheads="1"/>
        </xdr:cNvSpPr>
      </xdr:nvSpPr>
      <xdr:spPr bwMode="auto">
        <a:xfrm>
          <a:off x="4972050" y="6858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9</xdr:row>
      <xdr:rowOff>123825</xdr:rowOff>
    </xdr:from>
    <xdr:ext cx="152400" cy="200025"/>
    <xdr:sp macro="" textlink="">
      <xdr:nvSpPr>
        <xdr:cNvPr id="9279" name="Text Box 63"/>
        <xdr:cNvSpPr txBox="1">
          <a:spLocks noChangeArrowheads="1"/>
        </xdr:cNvSpPr>
      </xdr:nvSpPr>
      <xdr:spPr bwMode="auto">
        <a:xfrm>
          <a:off x="4972050" y="12858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20</xdr:row>
      <xdr:rowOff>123825</xdr:rowOff>
    </xdr:from>
    <xdr:ext cx="152400" cy="200025"/>
    <xdr:sp macro="" textlink="">
      <xdr:nvSpPr>
        <xdr:cNvPr id="9280" name="Text Box 64"/>
        <xdr:cNvSpPr txBox="1">
          <a:spLocks noChangeArrowheads="1"/>
        </xdr:cNvSpPr>
      </xdr:nvSpPr>
      <xdr:spPr bwMode="auto">
        <a:xfrm>
          <a:off x="4972050" y="26574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15</xdr:row>
      <xdr:rowOff>123825</xdr:rowOff>
    </xdr:from>
    <xdr:ext cx="152400" cy="200025"/>
    <xdr:sp macro="" textlink="">
      <xdr:nvSpPr>
        <xdr:cNvPr id="9281" name="Text Box 65"/>
        <xdr:cNvSpPr txBox="1">
          <a:spLocks noChangeArrowheads="1"/>
        </xdr:cNvSpPr>
      </xdr:nvSpPr>
      <xdr:spPr bwMode="auto">
        <a:xfrm>
          <a:off x="4972050" y="205740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25</xdr:row>
      <xdr:rowOff>123825</xdr:rowOff>
    </xdr:from>
    <xdr:ext cx="152400" cy="200025"/>
    <xdr:sp macro="" textlink="">
      <xdr:nvSpPr>
        <xdr:cNvPr id="9282" name="Text Box 66"/>
        <xdr:cNvSpPr txBox="1">
          <a:spLocks noChangeArrowheads="1"/>
        </xdr:cNvSpPr>
      </xdr:nvSpPr>
      <xdr:spPr bwMode="auto">
        <a:xfrm>
          <a:off x="4972050" y="32956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30</xdr:row>
      <xdr:rowOff>123825</xdr:rowOff>
    </xdr:from>
    <xdr:ext cx="152400" cy="200025"/>
    <xdr:sp macro="" textlink="">
      <xdr:nvSpPr>
        <xdr:cNvPr id="9283" name="Text Box 67"/>
        <xdr:cNvSpPr txBox="1">
          <a:spLocks noChangeArrowheads="1"/>
        </xdr:cNvSpPr>
      </xdr:nvSpPr>
      <xdr:spPr bwMode="auto">
        <a:xfrm>
          <a:off x="4972050" y="39052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35</xdr:row>
      <xdr:rowOff>123825</xdr:rowOff>
    </xdr:from>
    <xdr:ext cx="152400" cy="200025"/>
    <xdr:sp macro="" textlink="">
      <xdr:nvSpPr>
        <xdr:cNvPr id="9284" name="Text Box 68"/>
        <xdr:cNvSpPr txBox="1">
          <a:spLocks noChangeArrowheads="1"/>
        </xdr:cNvSpPr>
      </xdr:nvSpPr>
      <xdr:spPr bwMode="auto">
        <a:xfrm>
          <a:off x="4972050" y="45148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40</xdr:row>
      <xdr:rowOff>123825</xdr:rowOff>
    </xdr:from>
    <xdr:ext cx="152400" cy="200025"/>
    <xdr:sp macro="" textlink="">
      <xdr:nvSpPr>
        <xdr:cNvPr id="9285" name="Text Box 69"/>
        <xdr:cNvSpPr txBox="1">
          <a:spLocks noChangeArrowheads="1"/>
        </xdr:cNvSpPr>
      </xdr:nvSpPr>
      <xdr:spPr bwMode="auto">
        <a:xfrm>
          <a:off x="4972050" y="5124450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45</xdr:row>
      <xdr:rowOff>123825</xdr:rowOff>
    </xdr:from>
    <xdr:ext cx="152400" cy="200025"/>
    <xdr:sp macro="" textlink="">
      <xdr:nvSpPr>
        <xdr:cNvPr id="9286" name="Text Box 70"/>
        <xdr:cNvSpPr txBox="1">
          <a:spLocks noChangeArrowheads="1"/>
        </xdr:cNvSpPr>
      </xdr:nvSpPr>
      <xdr:spPr bwMode="auto">
        <a:xfrm>
          <a:off x="4972050" y="58388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50</xdr:row>
      <xdr:rowOff>123825</xdr:rowOff>
    </xdr:from>
    <xdr:ext cx="152400" cy="200025"/>
    <xdr:sp macro="" textlink="">
      <xdr:nvSpPr>
        <xdr:cNvPr id="9287" name="Text Box 71"/>
        <xdr:cNvSpPr txBox="1">
          <a:spLocks noChangeArrowheads="1"/>
        </xdr:cNvSpPr>
      </xdr:nvSpPr>
      <xdr:spPr bwMode="auto">
        <a:xfrm>
          <a:off x="4972050" y="642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55</xdr:row>
      <xdr:rowOff>123825</xdr:rowOff>
    </xdr:from>
    <xdr:ext cx="152400" cy="200025"/>
    <xdr:sp macro="" textlink="">
      <xdr:nvSpPr>
        <xdr:cNvPr id="9288" name="Text Box 72"/>
        <xdr:cNvSpPr txBox="1">
          <a:spLocks noChangeArrowheads="1"/>
        </xdr:cNvSpPr>
      </xdr:nvSpPr>
      <xdr:spPr bwMode="auto">
        <a:xfrm>
          <a:off x="4972050" y="70389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60</xdr:row>
      <xdr:rowOff>123825</xdr:rowOff>
    </xdr:from>
    <xdr:ext cx="152400" cy="200025"/>
    <xdr:sp macro="" textlink="">
      <xdr:nvSpPr>
        <xdr:cNvPr id="9289" name="Text Box 73"/>
        <xdr:cNvSpPr txBox="1">
          <a:spLocks noChangeArrowheads="1"/>
        </xdr:cNvSpPr>
      </xdr:nvSpPr>
      <xdr:spPr bwMode="auto">
        <a:xfrm>
          <a:off x="4972050" y="76676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65</xdr:row>
      <xdr:rowOff>123825</xdr:rowOff>
    </xdr:from>
    <xdr:ext cx="152400" cy="200025"/>
    <xdr:sp macro="" textlink="">
      <xdr:nvSpPr>
        <xdr:cNvPr id="9290" name="Text Box 74"/>
        <xdr:cNvSpPr txBox="1">
          <a:spLocks noChangeArrowheads="1"/>
        </xdr:cNvSpPr>
      </xdr:nvSpPr>
      <xdr:spPr bwMode="auto">
        <a:xfrm>
          <a:off x="4972050" y="82772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70</xdr:row>
      <xdr:rowOff>123825</xdr:rowOff>
    </xdr:from>
    <xdr:ext cx="152400" cy="200025"/>
    <xdr:sp macro="" textlink="">
      <xdr:nvSpPr>
        <xdr:cNvPr id="9291" name="Text Box 75"/>
        <xdr:cNvSpPr txBox="1">
          <a:spLocks noChangeArrowheads="1"/>
        </xdr:cNvSpPr>
      </xdr:nvSpPr>
      <xdr:spPr bwMode="auto">
        <a:xfrm>
          <a:off x="4972050" y="90011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75</xdr:row>
      <xdr:rowOff>123825</xdr:rowOff>
    </xdr:from>
    <xdr:ext cx="152400" cy="200025"/>
    <xdr:sp macro="" textlink="">
      <xdr:nvSpPr>
        <xdr:cNvPr id="9292" name="Text Box 76"/>
        <xdr:cNvSpPr txBox="1">
          <a:spLocks noChangeArrowheads="1"/>
        </xdr:cNvSpPr>
      </xdr:nvSpPr>
      <xdr:spPr bwMode="auto">
        <a:xfrm>
          <a:off x="4972050" y="961072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  <xdr:oneCellAnchor>
    <xdr:from>
      <xdr:col>9</xdr:col>
      <xdr:colOff>0</xdr:colOff>
      <xdr:row>80</xdr:row>
      <xdr:rowOff>123825</xdr:rowOff>
    </xdr:from>
    <xdr:ext cx="152400" cy="200025"/>
    <xdr:sp macro="" textlink="">
      <xdr:nvSpPr>
        <xdr:cNvPr id="9293" name="Text Box 77"/>
        <xdr:cNvSpPr txBox="1">
          <a:spLocks noChangeArrowheads="1"/>
        </xdr:cNvSpPr>
      </xdr:nvSpPr>
      <xdr:spPr bwMode="auto">
        <a:xfrm>
          <a:off x="4972050" y="10239375"/>
          <a:ext cx="152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=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50</xdr:row>
      <xdr:rowOff>28575</xdr:rowOff>
    </xdr:from>
    <xdr:to>
      <xdr:col>2</xdr:col>
      <xdr:colOff>1181100</xdr:colOff>
      <xdr:row>50</xdr:row>
      <xdr:rowOff>152400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>
          <a:off x="1619250" y="12411075"/>
          <a:ext cx="1600200" cy="123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Excel_97-2003_Worksheet3.xls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6"/>
  <sheetViews>
    <sheetView tabSelected="1" zoomScale="90" zoomScaleNormal="90" workbookViewId="0">
      <selection activeCell="E40" sqref="E40"/>
    </sheetView>
  </sheetViews>
  <sheetFormatPr defaultRowHeight="21.75" customHeight="1" x14ac:dyDescent="0.5"/>
  <cols>
    <col min="1" max="1" width="36.5703125" style="36" customWidth="1"/>
    <col min="2" max="5" width="13.28515625" style="25" customWidth="1"/>
    <col min="6" max="41" width="9.140625" style="9"/>
    <col min="42" max="16384" width="9.140625" style="10"/>
  </cols>
  <sheetData>
    <row r="1" spans="1:5" ht="21.75" customHeight="1" x14ac:dyDescent="0.55000000000000004">
      <c r="A1" s="114" t="s">
        <v>216</v>
      </c>
      <c r="B1" s="114"/>
      <c r="C1" s="114"/>
      <c r="D1" s="114"/>
      <c r="E1" s="114"/>
    </row>
    <row r="2" spans="1:5" ht="21.75" customHeight="1" x14ac:dyDescent="0.5">
      <c r="A2" s="8" t="s">
        <v>192</v>
      </c>
      <c r="B2" s="11"/>
      <c r="C2" s="11"/>
      <c r="D2" s="11"/>
      <c r="E2" s="11"/>
    </row>
    <row r="3" spans="1:5" ht="21.75" customHeight="1" x14ac:dyDescent="0.5">
      <c r="A3" s="119" t="s">
        <v>0</v>
      </c>
      <c r="B3" s="115" t="s">
        <v>1</v>
      </c>
      <c r="C3" s="115" t="s">
        <v>2</v>
      </c>
      <c r="D3" s="115"/>
      <c r="E3" s="115"/>
    </row>
    <row r="4" spans="1:5" ht="21.75" customHeight="1" x14ac:dyDescent="0.5">
      <c r="A4" s="120"/>
      <c r="B4" s="115"/>
      <c r="C4" s="117" t="s">
        <v>3</v>
      </c>
      <c r="D4" s="117"/>
      <c r="E4" s="115" t="s">
        <v>4</v>
      </c>
    </row>
    <row r="5" spans="1:5" ht="21.75" customHeight="1" x14ac:dyDescent="0.5">
      <c r="A5" s="120"/>
      <c r="B5" s="116"/>
      <c r="C5" s="14" t="s">
        <v>5</v>
      </c>
      <c r="D5" s="13" t="s">
        <v>7</v>
      </c>
      <c r="E5" s="118"/>
    </row>
    <row r="6" spans="1:5" ht="21.75" customHeight="1" x14ac:dyDescent="0.5">
      <c r="A6" s="121"/>
      <c r="B6" s="116"/>
      <c r="C6" s="15" t="s">
        <v>6</v>
      </c>
      <c r="D6" s="16" t="s">
        <v>8</v>
      </c>
      <c r="E6" s="118"/>
    </row>
    <row r="7" spans="1:5" ht="21.75" customHeight="1" x14ac:dyDescent="0.5">
      <c r="A7" s="17" t="s">
        <v>217</v>
      </c>
      <c r="B7" s="18"/>
      <c r="C7" s="19"/>
      <c r="D7" s="19"/>
      <c r="E7" s="18"/>
    </row>
    <row r="8" spans="1:5" ht="21.75" customHeight="1" x14ac:dyDescent="0.5">
      <c r="A8" s="24" t="s">
        <v>9</v>
      </c>
      <c r="B8" s="20">
        <v>5000</v>
      </c>
      <c r="C8" s="18"/>
      <c r="D8" s="18"/>
      <c r="E8" s="21">
        <f t="shared" ref="E8:E26" si="0">B8-C8-D8</f>
        <v>5000</v>
      </c>
    </row>
    <row r="9" spans="1:5" ht="21.75" customHeight="1" x14ac:dyDescent="0.5">
      <c r="A9" s="24" t="s">
        <v>103</v>
      </c>
      <c r="B9" s="20"/>
      <c r="C9" s="18"/>
      <c r="D9" s="18"/>
      <c r="E9" s="21">
        <f t="shared" si="0"/>
        <v>0</v>
      </c>
    </row>
    <row r="10" spans="1:5" ht="21.75" customHeight="1" x14ac:dyDescent="0.5">
      <c r="A10" s="24" t="s">
        <v>10</v>
      </c>
      <c r="B10" s="20"/>
      <c r="C10" s="18"/>
      <c r="D10" s="18"/>
      <c r="E10" s="21">
        <f t="shared" si="0"/>
        <v>0</v>
      </c>
    </row>
    <row r="11" spans="1:5" ht="21.75" customHeight="1" x14ac:dyDescent="0.5">
      <c r="A11" s="24" t="s">
        <v>11</v>
      </c>
      <c r="B11" s="20">
        <v>2000</v>
      </c>
      <c r="C11" s="18"/>
      <c r="D11" s="18"/>
      <c r="E11" s="21">
        <f t="shared" si="0"/>
        <v>2000</v>
      </c>
    </row>
    <row r="12" spans="1:5" ht="21.75" customHeight="1" x14ac:dyDescent="0.5">
      <c r="A12" s="24" t="s">
        <v>12</v>
      </c>
      <c r="B12" s="20">
        <v>20000</v>
      </c>
      <c r="C12" s="18"/>
      <c r="D12" s="18"/>
      <c r="E12" s="21">
        <f t="shared" si="0"/>
        <v>20000</v>
      </c>
    </row>
    <row r="13" spans="1:5" ht="21.75" customHeight="1" x14ac:dyDescent="0.5">
      <c r="A13" s="24" t="s">
        <v>13</v>
      </c>
      <c r="B13" s="20">
        <v>5000</v>
      </c>
      <c r="C13" s="18"/>
      <c r="D13" s="18"/>
      <c r="E13" s="21">
        <f t="shared" si="0"/>
        <v>5000</v>
      </c>
    </row>
    <row r="14" spans="1:5" ht="21.75" customHeight="1" x14ac:dyDescent="0.5">
      <c r="A14" s="22" t="s">
        <v>14</v>
      </c>
      <c r="B14" s="21">
        <f>SUM(B8:B13)</f>
        <v>32000</v>
      </c>
      <c r="C14" s="21">
        <f>SUM(C8:C13)</f>
        <v>0</v>
      </c>
      <c r="D14" s="21">
        <f>SUM(D8:D13)</f>
        <v>0</v>
      </c>
      <c r="E14" s="21">
        <f>SUM(E8:E13)</f>
        <v>32000</v>
      </c>
    </row>
    <row r="15" spans="1:5" ht="21.75" customHeight="1" x14ac:dyDescent="0.5">
      <c r="A15" s="17" t="s">
        <v>218</v>
      </c>
      <c r="B15" s="18"/>
      <c r="C15" s="18"/>
      <c r="D15" s="18"/>
      <c r="E15" s="21"/>
    </row>
    <row r="16" spans="1:5" ht="21.75" customHeight="1" x14ac:dyDescent="0.5">
      <c r="A16" s="24" t="s">
        <v>15</v>
      </c>
      <c r="B16" s="20"/>
      <c r="C16" s="18"/>
      <c r="D16" s="18"/>
      <c r="E16" s="21">
        <f t="shared" si="0"/>
        <v>0</v>
      </c>
    </row>
    <row r="17" spans="1:5" ht="21.75" customHeight="1" x14ac:dyDescent="0.5">
      <c r="A17" s="24" t="s">
        <v>16</v>
      </c>
      <c r="B17" s="20">
        <v>50000</v>
      </c>
      <c r="C17" s="18"/>
      <c r="D17" s="18"/>
      <c r="E17" s="21">
        <f t="shared" si="0"/>
        <v>50000</v>
      </c>
    </row>
    <row r="18" spans="1:5" ht="21.75" customHeight="1" x14ac:dyDescent="0.5">
      <c r="A18" s="24" t="s">
        <v>17</v>
      </c>
      <c r="B18" s="20">
        <v>17250</v>
      </c>
      <c r="C18" s="18"/>
      <c r="D18" s="18"/>
      <c r="E18" s="21">
        <f t="shared" si="0"/>
        <v>17250</v>
      </c>
    </row>
    <row r="19" spans="1:5" ht="21.75" customHeight="1" x14ac:dyDescent="0.5">
      <c r="A19" s="24" t="s">
        <v>18</v>
      </c>
      <c r="B19" s="20">
        <v>10000</v>
      </c>
      <c r="C19" s="18"/>
      <c r="D19" s="18"/>
      <c r="E19" s="21">
        <f t="shared" si="0"/>
        <v>10000</v>
      </c>
    </row>
    <row r="20" spans="1:5" ht="21.75" customHeight="1" x14ac:dyDescent="0.5">
      <c r="A20" s="24" t="s">
        <v>19</v>
      </c>
      <c r="B20" s="20">
        <v>3600</v>
      </c>
      <c r="C20" s="18"/>
      <c r="D20" s="18"/>
      <c r="E20" s="21">
        <f t="shared" si="0"/>
        <v>3600</v>
      </c>
    </row>
    <row r="21" spans="1:5" ht="21.75" customHeight="1" x14ac:dyDescent="0.5">
      <c r="A21" s="24" t="s">
        <v>20</v>
      </c>
      <c r="B21" s="20"/>
      <c r="C21" s="18"/>
      <c r="D21" s="18"/>
      <c r="E21" s="21">
        <f t="shared" si="0"/>
        <v>0</v>
      </c>
    </row>
    <row r="22" spans="1:5" ht="21.75" customHeight="1" x14ac:dyDescent="0.5">
      <c r="A22" s="22" t="s">
        <v>21</v>
      </c>
      <c r="B22" s="21">
        <f>SUM(B16:B21)</f>
        <v>80850</v>
      </c>
      <c r="C22" s="21">
        <f>C16+C17+C18+C19+C20+C21</f>
        <v>0</v>
      </c>
      <c r="D22" s="21">
        <f>D16+D17+D18+D19+D20+D21</f>
        <v>0</v>
      </c>
      <c r="E22" s="21">
        <f t="shared" si="0"/>
        <v>80850</v>
      </c>
    </row>
    <row r="23" spans="1:5" ht="21.75" customHeight="1" x14ac:dyDescent="0.5">
      <c r="A23" s="17" t="s">
        <v>219</v>
      </c>
      <c r="B23" s="18"/>
      <c r="C23" s="18"/>
      <c r="D23" s="18"/>
      <c r="E23" s="21"/>
    </row>
    <row r="24" spans="1:5" ht="21.75" customHeight="1" x14ac:dyDescent="0.5">
      <c r="A24" s="42" t="s">
        <v>22</v>
      </c>
      <c r="B24" s="20">
        <v>39000</v>
      </c>
      <c r="C24" s="18"/>
      <c r="D24" s="18"/>
      <c r="E24" s="21">
        <f t="shared" si="0"/>
        <v>39000</v>
      </c>
    </row>
    <row r="25" spans="1:5" ht="21.75" customHeight="1" x14ac:dyDescent="0.5">
      <c r="A25" s="42" t="s">
        <v>23</v>
      </c>
      <c r="B25" s="20"/>
      <c r="C25" s="18"/>
      <c r="D25" s="18"/>
      <c r="E25" s="21">
        <f t="shared" si="0"/>
        <v>0</v>
      </c>
    </row>
    <row r="26" spans="1:5" ht="21.75" customHeight="1" x14ac:dyDescent="0.5">
      <c r="A26" s="22" t="s">
        <v>24</v>
      </c>
      <c r="B26" s="21">
        <f>SUM(B24:B25)</f>
        <v>39000</v>
      </c>
      <c r="C26" s="21">
        <f>SUM(C24:C25)</f>
        <v>0</v>
      </c>
      <c r="D26" s="21">
        <f>SUM(D24:D25)</f>
        <v>0</v>
      </c>
      <c r="E26" s="21">
        <f t="shared" si="0"/>
        <v>39000</v>
      </c>
    </row>
    <row r="27" spans="1:5" ht="21.75" customHeight="1" x14ac:dyDescent="0.5">
      <c r="A27" s="22" t="s">
        <v>25</v>
      </c>
      <c r="B27" s="21">
        <f>B14+B22+B26</f>
        <v>151850</v>
      </c>
      <c r="C27" s="23">
        <v>120000</v>
      </c>
      <c r="D27" s="23"/>
      <c r="E27" s="21">
        <f>B27-C27-D27</f>
        <v>31850</v>
      </c>
    </row>
    <row r="28" spans="1:5" ht="21.75" customHeight="1" x14ac:dyDescent="0.5">
      <c r="A28" s="24" t="s">
        <v>203</v>
      </c>
      <c r="B28" s="18">
        <f>B27*100/B27</f>
        <v>100</v>
      </c>
      <c r="C28" s="18">
        <f>C27*100/B27</f>
        <v>79.02535396773132</v>
      </c>
      <c r="D28" s="18">
        <f>D27*100/B27</f>
        <v>0</v>
      </c>
      <c r="E28" s="18">
        <f>E27*100/B27</f>
        <v>20.974646032268687</v>
      </c>
    </row>
    <row r="29" spans="1:5" ht="21.75" customHeight="1" x14ac:dyDescent="0.5">
      <c r="B29" s="31" t="s">
        <v>220</v>
      </c>
      <c r="C29" s="31" t="s">
        <v>221</v>
      </c>
      <c r="D29" s="31" t="s">
        <v>222</v>
      </c>
      <c r="E29" s="31" t="s">
        <v>223</v>
      </c>
    </row>
    <row r="30" spans="1:5" ht="21.75" customHeight="1" x14ac:dyDescent="0.5">
      <c r="A30" s="43" t="s">
        <v>26</v>
      </c>
    </row>
    <row r="31" spans="1:5" ht="21.75" customHeight="1" x14ac:dyDescent="0.5">
      <c r="A31" s="43"/>
    </row>
    <row r="32" spans="1:5" ht="21.75" customHeight="1" x14ac:dyDescent="0.5">
      <c r="A32" s="43"/>
    </row>
    <row r="33" spans="1:5" ht="21.75" customHeight="1" x14ac:dyDescent="0.5">
      <c r="A33" s="32"/>
      <c r="B33" s="9"/>
      <c r="C33" s="9"/>
      <c r="D33" s="9"/>
      <c r="E33" s="9"/>
    </row>
    <row r="34" spans="1:5" ht="21.75" customHeight="1" x14ac:dyDescent="0.5">
      <c r="A34" s="29" t="s">
        <v>257</v>
      </c>
      <c r="B34" s="29" t="s">
        <v>208</v>
      </c>
      <c r="C34" s="30">
        <v>7</v>
      </c>
      <c r="D34" s="29" t="s">
        <v>109</v>
      </c>
      <c r="E34" s="9"/>
    </row>
    <row r="35" spans="1:5" ht="21.75" customHeight="1" x14ac:dyDescent="0.5">
      <c r="A35" s="28" t="s">
        <v>209</v>
      </c>
      <c r="B35" s="26" t="s">
        <v>210</v>
      </c>
      <c r="C35" s="26" t="s">
        <v>211</v>
      </c>
      <c r="D35" s="26" t="s">
        <v>212</v>
      </c>
      <c r="E35" s="9"/>
    </row>
    <row r="36" spans="1:5" ht="21.75" customHeight="1" x14ac:dyDescent="0.5">
      <c r="A36" s="28">
        <v>1</v>
      </c>
      <c r="B36" s="70">
        <f>C27</f>
        <v>120000</v>
      </c>
      <c r="C36" s="27">
        <v>120000</v>
      </c>
      <c r="D36" s="26">
        <f>B36*C34/100</f>
        <v>8400</v>
      </c>
      <c r="E36" s="9"/>
    </row>
    <row r="37" spans="1:5" ht="21.75" customHeight="1" x14ac:dyDescent="0.5">
      <c r="A37" s="28">
        <v>2</v>
      </c>
      <c r="B37" s="26">
        <f>B36-C36</f>
        <v>0</v>
      </c>
      <c r="C37" s="27"/>
      <c r="D37" s="26">
        <f>B37*C34/100</f>
        <v>0</v>
      </c>
      <c r="E37" s="9"/>
    </row>
    <row r="38" spans="1:5" ht="21.75" customHeight="1" x14ac:dyDescent="0.5">
      <c r="A38" s="28">
        <v>3</v>
      </c>
      <c r="B38" s="26">
        <f>B37-C37</f>
        <v>0</v>
      </c>
      <c r="C38" s="27"/>
      <c r="D38" s="26">
        <f>B38*C34/100</f>
        <v>0</v>
      </c>
      <c r="E38" s="9"/>
    </row>
    <row r="39" spans="1:5" ht="21.75" customHeight="1" x14ac:dyDescent="0.5">
      <c r="A39" s="28">
        <v>4</v>
      </c>
      <c r="B39" s="26">
        <f>B38-C38</f>
        <v>0</v>
      </c>
      <c r="C39" s="27"/>
      <c r="D39" s="26">
        <f>B39*C34/100</f>
        <v>0</v>
      </c>
      <c r="E39" s="9"/>
    </row>
    <row r="40" spans="1:5" ht="21.75" customHeight="1" x14ac:dyDescent="0.5">
      <c r="A40" s="28">
        <v>5</v>
      </c>
      <c r="B40" s="26">
        <f>B39-C39</f>
        <v>0</v>
      </c>
      <c r="C40" s="27"/>
      <c r="D40" s="26">
        <f>B40*C34/100</f>
        <v>0</v>
      </c>
      <c r="E40" s="9"/>
    </row>
    <row r="41" spans="1:5" ht="21.75" customHeight="1" x14ac:dyDescent="0.5">
      <c r="A41" s="26"/>
      <c r="B41" s="26" t="s">
        <v>213</v>
      </c>
      <c r="C41" s="26">
        <f>SUM(C36:C40)</f>
        <v>120000</v>
      </c>
      <c r="D41" s="26">
        <f>SUM(D36:D40)</f>
        <v>8400</v>
      </c>
      <c r="E41" s="9"/>
    </row>
    <row r="42" spans="1:5" ht="21.75" customHeight="1" x14ac:dyDescent="0.5">
      <c r="A42" s="26"/>
      <c r="B42" s="26" t="s">
        <v>214</v>
      </c>
      <c r="C42" s="26">
        <f>C41/60</f>
        <v>2000</v>
      </c>
      <c r="D42" s="26">
        <f>D41/60</f>
        <v>140</v>
      </c>
      <c r="E42" s="9"/>
    </row>
    <row r="43" spans="1:5" ht="21.75" customHeight="1" x14ac:dyDescent="0.5">
      <c r="A43" s="26"/>
      <c r="B43" s="26" t="s">
        <v>215</v>
      </c>
      <c r="C43" s="26">
        <f>C41/5</f>
        <v>24000</v>
      </c>
      <c r="D43" s="26">
        <f>D41/5</f>
        <v>1680</v>
      </c>
      <c r="E43" s="9"/>
    </row>
    <row r="44" spans="1:5" ht="21.75" customHeight="1" x14ac:dyDescent="0.5">
      <c r="A44" s="32"/>
      <c r="B44" s="9"/>
      <c r="C44" s="9"/>
      <c r="D44" s="9"/>
      <c r="E44" s="9"/>
    </row>
    <row r="45" spans="1:5" ht="21.75" customHeight="1" x14ac:dyDescent="0.5">
      <c r="A45" s="29" t="s">
        <v>258</v>
      </c>
      <c r="B45" s="29" t="s">
        <v>208</v>
      </c>
      <c r="C45" s="30"/>
      <c r="D45" s="29" t="s">
        <v>109</v>
      </c>
      <c r="E45" s="9"/>
    </row>
    <row r="46" spans="1:5" ht="21.75" customHeight="1" x14ac:dyDescent="0.5">
      <c r="A46" s="28" t="s">
        <v>209</v>
      </c>
      <c r="B46" s="26" t="s">
        <v>210</v>
      </c>
      <c r="C46" s="26" t="s">
        <v>211</v>
      </c>
      <c r="D46" s="26" t="s">
        <v>212</v>
      </c>
      <c r="E46" s="9"/>
    </row>
    <row r="47" spans="1:5" ht="21.75" customHeight="1" x14ac:dyDescent="0.5">
      <c r="A47" s="28">
        <v>1</v>
      </c>
      <c r="B47" s="70">
        <f>D27</f>
        <v>0</v>
      </c>
      <c r="C47" s="27"/>
      <c r="D47" s="26">
        <f>B47*C45/100</f>
        <v>0</v>
      </c>
      <c r="E47" s="9"/>
    </row>
    <row r="48" spans="1:5" ht="21.75" customHeight="1" x14ac:dyDescent="0.5">
      <c r="A48" s="28">
        <v>2</v>
      </c>
      <c r="B48" s="26">
        <f>B47-C47</f>
        <v>0</v>
      </c>
      <c r="C48" s="27"/>
      <c r="D48" s="26">
        <f>B48*C45/100</f>
        <v>0</v>
      </c>
      <c r="E48" s="9"/>
    </row>
    <row r="49" spans="1:5" ht="21.75" customHeight="1" x14ac:dyDescent="0.5">
      <c r="A49" s="28">
        <v>3</v>
      </c>
      <c r="B49" s="26">
        <f>B48-C48</f>
        <v>0</v>
      </c>
      <c r="C49" s="27"/>
      <c r="D49" s="26">
        <f>B49*C45/100</f>
        <v>0</v>
      </c>
      <c r="E49" s="9"/>
    </row>
    <row r="50" spans="1:5" ht="21.75" customHeight="1" x14ac:dyDescent="0.5">
      <c r="A50" s="28">
        <v>4</v>
      </c>
      <c r="B50" s="26">
        <f>B49-C49</f>
        <v>0</v>
      </c>
      <c r="C50" s="27"/>
      <c r="D50" s="26">
        <f>B50*C45/100</f>
        <v>0</v>
      </c>
      <c r="E50" s="9"/>
    </row>
    <row r="51" spans="1:5" s="9" customFormat="1" ht="21.75" customHeight="1" x14ac:dyDescent="0.5">
      <c r="A51" s="28">
        <v>5</v>
      </c>
      <c r="B51" s="26">
        <f>B50-C50</f>
        <v>0</v>
      </c>
      <c r="C51" s="27"/>
      <c r="D51" s="26">
        <f>B51*C45/100</f>
        <v>0</v>
      </c>
    </row>
    <row r="52" spans="1:5" s="9" customFormat="1" ht="21.75" customHeight="1" x14ac:dyDescent="0.5">
      <c r="A52" s="26"/>
      <c r="B52" s="26" t="s">
        <v>213</v>
      </c>
      <c r="C52" s="26">
        <f>SUM(C47:C51)</f>
        <v>0</v>
      </c>
      <c r="D52" s="26">
        <f>SUM(D47:D51)</f>
        <v>0</v>
      </c>
    </row>
    <row r="53" spans="1:5" s="9" customFormat="1" ht="21.75" customHeight="1" x14ac:dyDescent="0.5">
      <c r="A53" s="26"/>
      <c r="B53" s="26" t="s">
        <v>214</v>
      </c>
      <c r="C53" s="26">
        <f>C52/60</f>
        <v>0</v>
      </c>
      <c r="D53" s="26">
        <f>D52/60</f>
        <v>0</v>
      </c>
    </row>
    <row r="54" spans="1:5" s="9" customFormat="1" ht="21.75" customHeight="1" x14ac:dyDescent="0.5">
      <c r="A54" s="26"/>
      <c r="B54" s="26" t="s">
        <v>215</v>
      </c>
      <c r="C54" s="26">
        <f>C52/5</f>
        <v>0</v>
      </c>
      <c r="D54" s="26">
        <f>D52/5</f>
        <v>0</v>
      </c>
    </row>
    <row r="55" spans="1:5" s="9" customFormat="1" ht="21.75" customHeight="1" x14ac:dyDescent="0.3">
      <c r="A55" s="32"/>
    </row>
    <row r="56" spans="1:5" s="9" customFormat="1" ht="21.75" customHeight="1" x14ac:dyDescent="0.3">
      <c r="A56" s="32"/>
    </row>
    <row r="57" spans="1:5" s="9" customFormat="1" ht="21.75" customHeight="1" x14ac:dyDescent="0.3">
      <c r="A57" s="32"/>
    </row>
    <row r="58" spans="1:5" s="9" customFormat="1" ht="21.75" customHeight="1" x14ac:dyDescent="0.3">
      <c r="A58" s="32"/>
    </row>
    <row r="59" spans="1:5" s="9" customFormat="1" ht="21.75" customHeight="1" x14ac:dyDescent="0.3">
      <c r="A59" s="32"/>
    </row>
    <row r="60" spans="1:5" s="9" customFormat="1" ht="21.75" customHeight="1" x14ac:dyDescent="0.3">
      <c r="A60" s="32"/>
    </row>
    <row r="61" spans="1:5" s="9" customFormat="1" ht="21.75" customHeight="1" x14ac:dyDescent="0.3">
      <c r="A61" s="32"/>
    </row>
    <row r="62" spans="1:5" s="9" customFormat="1" ht="21.75" customHeight="1" x14ac:dyDescent="0.3">
      <c r="A62" s="32"/>
    </row>
    <row r="63" spans="1:5" s="9" customFormat="1" ht="21.75" customHeight="1" x14ac:dyDescent="0.3">
      <c r="A63" s="32"/>
    </row>
    <row r="64" spans="1:5" s="9" customFormat="1" ht="21.75" customHeight="1" x14ac:dyDescent="0.3">
      <c r="A64" s="32"/>
    </row>
    <row r="65" spans="1:1" s="9" customFormat="1" ht="21.75" customHeight="1" x14ac:dyDescent="0.3">
      <c r="A65" s="32"/>
    </row>
    <row r="66" spans="1:1" s="9" customFormat="1" ht="21.75" customHeight="1" x14ac:dyDescent="0.3">
      <c r="A66" s="32"/>
    </row>
    <row r="67" spans="1:1" s="9" customFormat="1" ht="21.75" customHeight="1" x14ac:dyDescent="0.3">
      <c r="A67" s="32"/>
    </row>
    <row r="68" spans="1:1" s="9" customFormat="1" ht="21.75" customHeight="1" x14ac:dyDescent="0.3">
      <c r="A68" s="32"/>
    </row>
    <row r="69" spans="1:1" s="9" customFormat="1" ht="21.75" customHeight="1" x14ac:dyDescent="0.3">
      <c r="A69" s="32"/>
    </row>
    <row r="70" spans="1:1" s="9" customFormat="1" ht="21.75" customHeight="1" x14ac:dyDescent="0.3">
      <c r="A70" s="32"/>
    </row>
    <row r="71" spans="1:1" s="9" customFormat="1" ht="21.75" customHeight="1" x14ac:dyDescent="0.3">
      <c r="A71" s="32"/>
    </row>
    <row r="72" spans="1:1" s="9" customFormat="1" ht="21.75" customHeight="1" x14ac:dyDescent="0.3">
      <c r="A72" s="32"/>
    </row>
    <row r="73" spans="1:1" s="9" customFormat="1" ht="21.75" customHeight="1" x14ac:dyDescent="0.3">
      <c r="A73" s="32"/>
    </row>
    <row r="74" spans="1:1" s="9" customFormat="1" ht="21.75" customHeight="1" x14ac:dyDescent="0.3">
      <c r="A74" s="32"/>
    </row>
    <row r="75" spans="1:1" s="9" customFormat="1" ht="21.75" customHeight="1" x14ac:dyDescent="0.3">
      <c r="A75" s="32"/>
    </row>
    <row r="76" spans="1:1" s="9" customFormat="1" ht="21.75" customHeight="1" x14ac:dyDescent="0.3">
      <c r="A76" s="32"/>
    </row>
  </sheetData>
  <protectedRanges>
    <protectedRange sqref="C47:C51" name="ช่วง8"/>
    <protectedRange sqref="C45" name="ช่วง7"/>
    <protectedRange sqref="C36:C40" name="ช่วง6"/>
    <protectedRange sqref="C34" name="ช่วง5"/>
    <protectedRange sqref="C27:D27" name="ช่วง4"/>
    <protectedRange sqref="B24:B25" name="ช่วง3"/>
    <protectedRange sqref="B16:B21" name="ช่วง2"/>
    <protectedRange sqref="B8:B13" name="ช่วง1"/>
  </protectedRanges>
  <mergeCells count="6">
    <mergeCell ref="A1:E1"/>
    <mergeCell ref="B3:B6"/>
    <mergeCell ref="C3:E3"/>
    <mergeCell ref="C4:D4"/>
    <mergeCell ref="E4:E6"/>
    <mergeCell ref="A3:A6"/>
  </mergeCells>
  <phoneticPr fontId="0" type="noConversion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Sheet.8" shapeId="2" r:id="rId4">
          <objectPr defaultSize="0" autoPict="0" r:id="rId5">
            <anchor moveWithCells="1" sizeWithCells="1">
              <from>
                <xdr:col>0</xdr:col>
                <xdr:colOff>0</xdr:colOff>
                <xdr:row>32</xdr:row>
                <xdr:rowOff>0</xdr:rowOff>
              </from>
              <to>
                <xdr:col>5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Excel.Sheet.8" shapeId="1047" r:id="rId4"/>
      </mc:Fallback>
    </mc:AlternateContent>
    <mc:AlternateContent xmlns:mc="http://schemas.openxmlformats.org/markup-compatibility/2006">
      <mc:Choice Requires="x14">
        <oleObject progId="Excel.Sheet.8" shapeId="3" r:id="rId6">
          <objectPr defaultSize="0" autoPict="0" r:id="rId7">
            <anchor moveWithCells="1" sizeWithCells="1">
              <from>
                <xdr:col>0</xdr:col>
                <xdr:colOff>0</xdr:colOff>
                <xdr:row>32</xdr:row>
                <xdr:rowOff>0</xdr:rowOff>
              </from>
              <to>
                <xdr:col>5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Excel.Sheet.8" shapeId="1046" r:id="rId6"/>
      </mc:Fallback>
    </mc:AlternateContent>
    <mc:AlternateContent xmlns:mc="http://schemas.openxmlformats.org/markup-compatibility/2006">
      <mc:Choice Requires="x14">
        <oleObject progId="Excel.Sheet.8" shapeId="4" r:id="rId8">
          <objectPr defaultSize="0" autoPict="0" r:id="rId9">
            <anchor moveWithCells="1" sizeWithCells="1">
              <from>
                <xdr:col>0</xdr:col>
                <xdr:colOff>0</xdr:colOff>
                <xdr:row>32</xdr:row>
                <xdr:rowOff>0</xdr:rowOff>
              </from>
              <to>
                <xdr:col>5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Excel.Sheet.8" shapeId="102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43" zoomScale="80" zoomScaleNormal="80" workbookViewId="0">
      <selection activeCell="B45" sqref="B45"/>
    </sheetView>
  </sheetViews>
  <sheetFormatPr defaultRowHeight="23.25" x14ac:dyDescent="0.5"/>
  <cols>
    <col min="1" max="1" width="39" style="36" customWidth="1"/>
    <col min="2" max="4" width="12.7109375" style="25" customWidth="1"/>
    <col min="5" max="7" width="7.5703125" style="35" customWidth="1"/>
    <col min="8" max="16384" width="9.140625" style="10"/>
  </cols>
  <sheetData>
    <row r="1" spans="1:7" s="36" customFormat="1" ht="21.75" customHeight="1" x14ac:dyDescent="0.5">
      <c r="A1" s="33" t="s">
        <v>193</v>
      </c>
      <c r="B1" s="34"/>
      <c r="C1" s="34"/>
      <c r="D1" s="34"/>
      <c r="E1" s="35"/>
      <c r="F1" s="35"/>
      <c r="G1" s="35"/>
    </row>
    <row r="2" spans="1:7" s="36" customFormat="1" ht="21.75" customHeight="1" x14ac:dyDescent="0.5">
      <c r="A2" s="122" t="s">
        <v>27</v>
      </c>
      <c r="B2" s="122"/>
      <c r="C2" s="122"/>
      <c r="D2" s="122"/>
      <c r="E2" s="122"/>
      <c r="F2" s="122"/>
      <c r="G2" s="122"/>
    </row>
    <row r="3" spans="1:7" s="36" customFormat="1" ht="21.75" customHeight="1" x14ac:dyDescent="0.5">
      <c r="A3" s="122" t="s">
        <v>28</v>
      </c>
      <c r="B3" s="122"/>
      <c r="C3" s="122"/>
      <c r="D3" s="122"/>
      <c r="E3" s="122"/>
      <c r="F3" s="122"/>
      <c r="G3" s="122"/>
    </row>
    <row r="4" spans="1:7" s="36" customFormat="1" ht="21.75" customHeight="1" x14ac:dyDescent="0.5">
      <c r="A4" s="122" t="s">
        <v>29</v>
      </c>
      <c r="B4" s="122"/>
      <c r="C4" s="122"/>
      <c r="D4" s="122"/>
      <c r="E4" s="122"/>
      <c r="F4" s="122"/>
      <c r="G4" s="122"/>
    </row>
    <row r="5" spans="1:7" s="36" customFormat="1" ht="21.75" customHeight="1" x14ac:dyDescent="0.5">
      <c r="A5" s="37"/>
      <c r="B5" s="34"/>
      <c r="C5" s="34"/>
      <c r="D5" s="34"/>
      <c r="E5" s="35"/>
      <c r="F5" s="35"/>
      <c r="G5" s="35"/>
    </row>
    <row r="6" spans="1:7" s="36" customFormat="1" ht="21.75" customHeight="1" x14ac:dyDescent="0.5">
      <c r="A6" s="108" t="s">
        <v>0</v>
      </c>
      <c r="B6" s="12" t="s">
        <v>30</v>
      </c>
      <c r="C6" s="12" t="s">
        <v>31</v>
      </c>
      <c r="D6" s="12" t="s">
        <v>32</v>
      </c>
      <c r="E6" s="12" t="s">
        <v>30</v>
      </c>
      <c r="F6" s="12" t="s">
        <v>31</v>
      </c>
      <c r="G6" s="12" t="s">
        <v>32</v>
      </c>
    </row>
    <row r="7" spans="1:7" s="36" customFormat="1" ht="21.75" customHeight="1" x14ac:dyDescent="0.5">
      <c r="A7" s="109" t="s">
        <v>204</v>
      </c>
      <c r="B7" s="26"/>
      <c r="C7" s="26"/>
      <c r="D7" s="26"/>
      <c r="E7" s="38" t="s">
        <v>109</v>
      </c>
      <c r="F7" s="38" t="s">
        <v>109</v>
      </c>
      <c r="G7" s="38" t="s">
        <v>109</v>
      </c>
    </row>
    <row r="8" spans="1:7" ht="21.75" customHeight="1" x14ac:dyDescent="0.5">
      <c r="A8" s="24" t="s">
        <v>33</v>
      </c>
      <c r="B8" s="20">
        <v>1735200</v>
      </c>
      <c r="C8" s="20">
        <v>2082240</v>
      </c>
      <c r="D8" s="20">
        <v>2602800</v>
      </c>
      <c r="E8" s="39">
        <f>B8*100/B8</f>
        <v>100</v>
      </c>
      <c r="F8" s="39">
        <f>C8*100/C8</f>
        <v>100</v>
      </c>
      <c r="G8" s="39">
        <f>D8*100/D8</f>
        <v>100</v>
      </c>
    </row>
    <row r="9" spans="1:7" ht="21.75" customHeight="1" x14ac:dyDescent="0.5">
      <c r="A9" s="24" t="s">
        <v>229</v>
      </c>
      <c r="B9" s="18">
        <f>B59</f>
        <v>985595</v>
      </c>
      <c r="C9" s="18">
        <f>C59</f>
        <v>2000</v>
      </c>
      <c r="D9" s="18">
        <f>D59</f>
        <v>0</v>
      </c>
      <c r="E9" s="39">
        <f>B9*100/B8</f>
        <v>56.800080682342092</v>
      </c>
      <c r="F9" s="39">
        <f>C9*100/C8</f>
        <v>9.6050407253726752E-2</v>
      </c>
      <c r="G9" s="39">
        <f>D9*100/D8</f>
        <v>0</v>
      </c>
    </row>
    <row r="10" spans="1:7" ht="21.75" customHeight="1" x14ac:dyDescent="0.5">
      <c r="A10" s="24" t="s">
        <v>230</v>
      </c>
      <c r="B10" s="18">
        <f>B8-B9</f>
        <v>749605</v>
      </c>
      <c r="C10" s="18">
        <f>C8-C9</f>
        <v>2080240</v>
      </c>
      <c r="D10" s="18">
        <f>D8-D9</f>
        <v>2602800</v>
      </c>
      <c r="E10" s="39">
        <f>B10*100/B8</f>
        <v>43.199919317657908</v>
      </c>
      <c r="F10" s="39">
        <f>C10*100/C8</f>
        <v>99.903949592746272</v>
      </c>
      <c r="G10" s="39">
        <f>D10*100/D8</f>
        <v>100</v>
      </c>
    </row>
    <row r="11" spans="1:7" s="36" customFormat="1" ht="21.75" customHeight="1" x14ac:dyDescent="0.5">
      <c r="A11" s="17" t="s">
        <v>231</v>
      </c>
      <c r="B11" s="18"/>
      <c r="C11" s="18"/>
      <c r="D11" s="18"/>
      <c r="E11" s="39"/>
      <c r="F11" s="39"/>
      <c r="G11" s="39"/>
    </row>
    <row r="12" spans="1:7" ht="21.75" customHeight="1" x14ac:dyDescent="0.5">
      <c r="A12" s="24" t="s">
        <v>34</v>
      </c>
      <c r="B12" s="20">
        <v>76800</v>
      </c>
      <c r="C12" s="20"/>
      <c r="D12" s="20"/>
      <c r="E12" s="39">
        <f>B12*100/B8</f>
        <v>4.4260027662517292</v>
      </c>
      <c r="F12" s="39">
        <f>C12*100/C8</f>
        <v>0</v>
      </c>
      <c r="G12" s="39">
        <f>D12*100/D8</f>
        <v>0</v>
      </c>
    </row>
    <row r="13" spans="1:7" ht="21.75" customHeight="1" x14ac:dyDescent="0.5">
      <c r="A13" s="24" t="s">
        <v>146</v>
      </c>
      <c r="B13" s="20">
        <v>211200</v>
      </c>
      <c r="C13" s="20"/>
      <c r="D13" s="20"/>
      <c r="E13" s="39">
        <f>B13*100/B8</f>
        <v>12.171507607192254</v>
      </c>
      <c r="F13" s="39">
        <f>C13*100/C8</f>
        <v>0</v>
      </c>
      <c r="G13" s="39">
        <f>D13*100/D8</f>
        <v>0</v>
      </c>
    </row>
    <row r="14" spans="1:7" ht="21.75" customHeight="1" x14ac:dyDescent="0.5">
      <c r="A14" s="24" t="s">
        <v>198</v>
      </c>
      <c r="B14" s="20"/>
      <c r="C14" s="20"/>
      <c r="D14" s="20"/>
      <c r="E14" s="39">
        <f>B14*100/B8</f>
        <v>0</v>
      </c>
      <c r="F14" s="39">
        <f>C14*100/C8</f>
        <v>0</v>
      </c>
      <c r="G14" s="39">
        <f>D14*100/D8</f>
        <v>0</v>
      </c>
    </row>
    <row r="15" spans="1:7" ht="21.75" customHeight="1" x14ac:dyDescent="0.5">
      <c r="A15" s="24" t="s">
        <v>224</v>
      </c>
      <c r="B15" s="20">
        <v>35000</v>
      </c>
      <c r="C15" s="18"/>
      <c r="D15" s="18"/>
      <c r="E15" s="39">
        <f>B15*100/B8</f>
        <v>2.0170585523282618</v>
      </c>
      <c r="F15" s="39">
        <f>C15*100/C8</f>
        <v>0</v>
      </c>
      <c r="G15" s="39">
        <f>D15*100/D8</f>
        <v>0</v>
      </c>
    </row>
    <row r="16" spans="1:7" s="36" customFormat="1" ht="21.75" customHeight="1" x14ac:dyDescent="0.5">
      <c r="A16" s="17" t="s">
        <v>36</v>
      </c>
      <c r="B16" s="18">
        <f>B12+B13+B14+B15</f>
        <v>323000</v>
      </c>
      <c r="C16" s="18">
        <f>C12+C13+C14+C15</f>
        <v>0</v>
      </c>
      <c r="D16" s="18">
        <f>D12+D13+D14+D15</f>
        <v>0</v>
      </c>
      <c r="E16" s="39">
        <f>B16*100/B8</f>
        <v>18.614568925772247</v>
      </c>
      <c r="F16" s="39">
        <f>C16*100/C8</f>
        <v>0</v>
      </c>
      <c r="G16" s="39">
        <f>D16*100/D8</f>
        <v>0</v>
      </c>
    </row>
    <row r="17" spans="1:8" s="36" customFormat="1" ht="21.75" customHeight="1" x14ac:dyDescent="0.5">
      <c r="A17" s="17" t="s">
        <v>225</v>
      </c>
      <c r="B17" s="18">
        <f>B10-B16</f>
        <v>426605</v>
      </c>
      <c r="C17" s="18">
        <f>C10-C16</f>
        <v>2080240</v>
      </c>
      <c r="D17" s="18">
        <f>D10-D16</f>
        <v>2602800</v>
      </c>
      <c r="E17" s="39">
        <f>B17*100/B8</f>
        <v>24.585350391885662</v>
      </c>
      <c r="F17" s="39">
        <f>C17*100/C8</f>
        <v>99.903949592746272</v>
      </c>
      <c r="G17" s="39">
        <f>D17*100/D8</f>
        <v>100</v>
      </c>
    </row>
    <row r="18" spans="1:8" ht="21.75" customHeight="1" x14ac:dyDescent="0.5">
      <c r="A18" s="52" t="s">
        <v>232</v>
      </c>
      <c r="B18" s="20"/>
      <c r="C18" s="20"/>
      <c r="D18" s="20"/>
      <c r="E18" s="39">
        <f>B18*100/B8</f>
        <v>0</v>
      </c>
      <c r="F18" s="39">
        <f>C18*100/C10</f>
        <v>0</v>
      </c>
      <c r="G18" s="39">
        <f>D18*100/D10</f>
        <v>0</v>
      </c>
    </row>
    <row r="19" spans="1:8" s="36" customFormat="1" ht="21.75" customHeight="1" x14ac:dyDescent="0.5">
      <c r="A19" s="17" t="s">
        <v>226</v>
      </c>
      <c r="B19" s="18">
        <f>B17+B18</f>
        <v>426605</v>
      </c>
      <c r="C19" s="18">
        <f>C17+C18</f>
        <v>2080240</v>
      </c>
      <c r="D19" s="18">
        <f>D17+D18</f>
        <v>2602800</v>
      </c>
      <c r="E19" s="39">
        <f>B19*100/B8</f>
        <v>24.585350391885662</v>
      </c>
      <c r="F19" s="39">
        <f>C19*100/C8</f>
        <v>99.903949592746272</v>
      </c>
      <c r="G19" s="39">
        <f>D19*100/D8</f>
        <v>100</v>
      </c>
    </row>
    <row r="20" spans="1:8" s="36" customFormat="1" ht="21.75" customHeight="1" x14ac:dyDescent="0.5">
      <c r="A20" s="52" t="s">
        <v>233</v>
      </c>
      <c r="B20" s="18">
        <f>'งบ ตท'!D36+'งบ ตท'!D47</f>
        <v>8400</v>
      </c>
      <c r="C20" s="18">
        <f>'งบ ตท'!D37+'งบ ตท'!D48</f>
        <v>0</v>
      </c>
      <c r="D20" s="18">
        <f>'งบ ตท'!D38+'งบ ตท'!D49</f>
        <v>0</v>
      </c>
      <c r="E20" s="39">
        <f>B20*100/B8</f>
        <v>0.48409405255878285</v>
      </c>
      <c r="F20" s="39">
        <f>C20*100/C8</f>
        <v>0</v>
      </c>
      <c r="G20" s="39">
        <f>D20*100/D8</f>
        <v>0</v>
      </c>
    </row>
    <row r="21" spans="1:8" s="36" customFormat="1" ht="21.75" customHeight="1" x14ac:dyDescent="0.5">
      <c r="A21" s="17" t="s">
        <v>227</v>
      </c>
      <c r="B21" s="18">
        <f>B19-B20</f>
        <v>418205</v>
      </c>
      <c r="C21" s="18">
        <f>C19-C20</f>
        <v>2080240</v>
      </c>
      <c r="D21" s="18">
        <f>D19-D20</f>
        <v>2602800</v>
      </c>
      <c r="E21" s="39">
        <f>B21*100/B8</f>
        <v>24.101256339326877</v>
      </c>
      <c r="F21" s="39">
        <f>C21*100/C8</f>
        <v>99.903949592746272</v>
      </c>
      <c r="G21" s="39">
        <f>D21*100/D8</f>
        <v>100</v>
      </c>
    </row>
    <row r="22" spans="1:8" s="36" customFormat="1" ht="21.75" customHeight="1" x14ac:dyDescent="0.5">
      <c r="A22" s="52" t="s">
        <v>234</v>
      </c>
      <c r="B22" s="18">
        <f>0.005*B8</f>
        <v>8676</v>
      </c>
      <c r="C22" s="18">
        <f>0.005*C8</f>
        <v>10411.200000000001</v>
      </c>
      <c r="D22" s="18">
        <f>0.005*D8</f>
        <v>13014</v>
      </c>
      <c r="E22" s="39">
        <f>B22*100/B8</f>
        <v>0.5</v>
      </c>
      <c r="F22" s="39">
        <f>C22*100/C8</f>
        <v>0.50000000000000011</v>
      </c>
      <c r="G22" s="39">
        <f>D22*100/D8</f>
        <v>0.5</v>
      </c>
    </row>
    <row r="23" spans="1:8" s="36" customFormat="1" ht="21.75" customHeight="1" x14ac:dyDescent="0.5">
      <c r="A23" s="17" t="s">
        <v>228</v>
      </c>
      <c r="B23" s="18">
        <f>B21-B22</f>
        <v>409529</v>
      </c>
      <c r="C23" s="18">
        <f>C21-C22</f>
        <v>2069828.8</v>
      </c>
      <c r="D23" s="18">
        <f>D21-D22</f>
        <v>2589786</v>
      </c>
      <c r="E23" s="39">
        <f>B23*100/B8</f>
        <v>23.601256339326877</v>
      </c>
      <c r="F23" s="39">
        <f>C23*100/C8</f>
        <v>99.403949592746272</v>
      </c>
      <c r="G23" s="39">
        <f>D23*100/D8</f>
        <v>99.5</v>
      </c>
    </row>
    <row r="24" spans="1:8" ht="21.75" customHeight="1" x14ac:dyDescent="0.5">
      <c r="A24" s="44"/>
    </row>
    <row r="25" spans="1:8" ht="21.75" customHeight="1" x14ac:dyDescent="0.5"/>
    <row r="26" spans="1:8" ht="21.75" customHeight="1" x14ac:dyDescent="0.5">
      <c r="H26" s="40"/>
    </row>
    <row r="27" spans="1:8" ht="21.75" customHeight="1" x14ac:dyDescent="0.5"/>
    <row r="28" spans="1:8" ht="21.75" customHeight="1" x14ac:dyDescent="0.5"/>
    <row r="29" spans="1:8" ht="21.75" customHeight="1" x14ac:dyDescent="0.5"/>
    <row r="30" spans="1:8" ht="21.75" customHeight="1" x14ac:dyDescent="0.5"/>
    <row r="31" spans="1:8" ht="21.75" customHeight="1" x14ac:dyDescent="0.5"/>
    <row r="32" spans="1:8" ht="21.75" customHeight="1" x14ac:dyDescent="0.5"/>
    <row r="33" spans="1:7" ht="21.75" customHeight="1" x14ac:dyDescent="0.5"/>
    <row r="34" spans="1:7" ht="21.75" customHeight="1" x14ac:dyDescent="0.5">
      <c r="C34" s="1"/>
      <c r="D34" s="1"/>
    </row>
    <row r="35" spans="1:7" s="36" customFormat="1" ht="21.75" customHeight="1" x14ac:dyDescent="0.5">
      <c r="A35" s="41" t="s">
        <v>37</v>
      </c>
      <c r="B35" s="34"/>
      <c r="C35" s="34"/>
      <c r="D35" s="34"/>
      <c r="E35" s="35"/>
      <c r="F35" s="35"/>
      <c r="G35" s="35"/>
    </row>
    <row r="36" spans="1:7" s="36" customFormat="1" ht="21.75" customHeight="1" x14ac:dyDescent="0.5">
      <c r="A36" s="24"/>
      <c r="B36" s="12" t="s">
        <v>38</v>
      </c>
      <c r="C36" s="12" t="s">
        <v>39</v>
      </c>
      <c r="D36" s="12" t="s">
        <v>40</v>
      </c>
      <c r="E36" s="12" t="s">
        <v>38</v>
      </c>
      <c r="F36" s="12" t="s">
        <v>39</v>
      </c>
      <c r="G36" s="12" t="s">
        <v>40</v>
      </c>
    </row>
    <row r="37" spans="1:7" s="36" customFormat="1" ht="21.75" customHeight="1" x14ac:dyDescent="0.5">
      <c r="A37" s="24"/>
      <c r="B37" s="12"/>
      <c r="C37" s="12"/>
      <c r="D37" s="12"/>
      <c r="E37" s="39" t="s">
        <v>109</v>
      </c>
      <c r="F37" s="39" t="s">
        <v>109</v>
      </c>
      <c r="G37" s="39" t="s">
        <v>109</v>
      </c>
    </row>
    <row r="38" spans="1:7" s="36" customFormat="1" ht="21.75" customHeight="1" x14ac:dyDescent="0.5">
      <c r="A38" s="24" t="s">
        <v>41</v>
      </c>
      <c r="B38" s="18">
        <f>'งบ ตท'!B8</f>
        <v>5000</v>
      </c>
      <c r="C38" s="18">
        <f>B43</f>
        <v>2000</v>
      </c>
      <c r="D38" s="18">
        <f>C43</f>
        <v>0</v>
      </c>
      <c r="E38" s="39">
        <f>B38*100/B8</f>
        <v>0.28815122176118024</v>
      </c>
      <c r="F38" s="39">
        <f>C38*100/C8</f>
        <v>9.6050407253726752E-2</v>
      </c>
      <c r="G38" s="39">
        <f>D38*100/D8</f>
        <v>0</v>
      </c>
    </row>
    <row r="39" spans="1:7" ht="21.75" customHeight="1" x14ac:dyDescent="0.5">
      <c r="A39" s="52" t="s">
        <v>42</v>
      </c>
      <c r="B39" s="20">
        <v>804192</v>
      </c>
      <c r="C39" s="20"/>
      <c r="D39" s="20"/>
      <c r="E39" s="39">
        <f>B39*100/B8</f>
        <v>46.345781466113415</v>
      </c>
      <c r="F39" s="39">
        <f>C39*100/C8</f>
        <v>0</v>
      </c>
      <c r="G39" s="39">
        <f>D39*100/D8</f>
        <v>0</v>
      </c>
    </row>
    <row r="40" spans="1:7" ht="21.75" customHeight="1" x14ac:dyDescent="0.5">
      <c r="A40" s="52" t="s">
        <v>43</v>
      </c>
      <c r="B40" s="20"/>
      <c r="C40" s="20"/>
      <c r="D40" s="20"/>
      <c r="E40" s="39">
        <f>B40*100/B8</f>
        <v>0</v>
      </c>
      <c r="F40" s="39">
        <f>C40*100/C8</f>
        <v>0</v>
      </c>
      <c r="G40" s="39">
        <f>D40*100/D8</f>
        <v>0</v>
      </c>
    </row>
    <row r="41" spans="1:7" ht="21.75" customHeight="1" x14ac:dyDescent="0.5">
      <c r="A41" s="52" t="s">
        <v>44</v>
      </c>
      <c r="B41" s="18"/>
      <c r="C41" s="18"/>
      <c r="D41" s="18"/>
      <c r="E41" s="39">
        <f>B41*100/B8</f>
        <v>0</v>
      </c>
      <c r="F41" s="39">
        <f>C41*100/C8</f>
        <v>0</v>
      </c>
      <c r="G41" s="39">
        <f>D41*100/D8</f>
        <v>0</v>
      </c>
    </row>
    <row r="42" spans="1:7" s="36" customFormat="1" ht="21.75" customHeight="1" x14ac:dyDescent="0.5">
      <c r="A42" s="24" t="s">
        <v>45</v>
      </c>
      <c r="B42" s="18">
        <f>SUM(B38:B41)</f>
        <v>809192</v>
      </c>
      <c r="C42" s="18">
        <f>SUM(C38:C41)</f>
        <v>2000</v>
      </c>
      <c r="D42" s="18">
        <f>SUM(D38:D41)</f>
        <v>0</v>
      </c>
      <c r="E42" s="39">
        <f>B42*100/B8</f>
        <v>46.633932687874598</v>
      </c>
      <c r="F42" s="39">
        <f>C42*100/C8</f>
        <v>9.6050407253726752E-2</v>
      </c>
      <c r="G42" s="39">
        <f>D42*100/D8</f>
        <v>0</v>
      </c>
    </row>
    <row r="43" spans="1:7" ht="21.75" customHeight="1" x14ac:dyDescent="0.5">
      <c r="A43" s="52" t="s">
        <v>46</v>
      </c>
      <c r="B43" s="20">
        <v>2000</v>
      </c>
      <c r="C43" s="20"/>
      <c r="D43" s="20"/>
      <c r="E43" s="39">
        <f>B43*100/B8</f>
        <v>0.11526048870447211</v>
      </c>
      <c r="F43" s="39">
        <f>C43*100/C8</f>
        <v>0</v>
      </c>
      <c r="G43" s="39">
        <f>D43*100/D8</f>
        <v>0</v>
      </c>
    </row>
    <row r="44" spans="1:7" s="36" customFormat="1" ht="21.75" customHeight="1" x14ac:dyDescent="0.5">
      <c r="A44" s="17" t="s">
        <v>194</v>
      </c>
      <c r="B44" s="18">
        <f>B42-B43</f>
        <v>807192</v>
      </c>
      <c r="C44" s="18">
        <f>C42-C43</f>
        <v>2000</v>
      </c>
      <c r="D44" s="18">
        <f>D42-D43</f>
        <v>0</v>
      </c>
      <c r="E44" s="39">
        <f>B44*100/B8</f>
        <v>46.518672199170126</v>
      </c>
      <c r="F44" s="39">
        <f>C44*100/C8</f>
        <v>9.6050407253726752E-2</v>
      </c>
      <c r="G44" s="39">
        <f>D44*100/D8</f>
        <v>0</v>
      </c>
    </row>
    <row r="45" spans="1:7" ht="21.75" customHeight="1" x14ac:dyDescent="0.5">
      <c r="A45" s="52" t="s">
        <v>47</v>
      </c>
      <c r="B45" s="20">
        <v>76800</v>
      </c>
      <c r="C45" s="20"/>
      <c r="D45" s="20"/>
      <c r="E45" s="39">
        <f>B45*100/B8</f>
        <v>4.4260027662517292</v>
      </c>
      <c r="F45" s="39">
        <f>C45*100/C8</f>
        <v>0</v>
      </c>
      <c r="G45" s="39">
        <f>D45*100/D8</f>
        <v>0</v>
      </c>
    </row>
    <row r="46" spans="1:7" ht="21.75" customHeight="1" x14ac:dyDescent="0.5">
      <c r="A46" s="52" t="s">
        <v>48</v>
      </c>
      <c r="B46" s="20"/>
      <c r="C46" s="20"/>
      <c r="D46" s="20"/>
      <c r="E46" s="39">
        <f>B46*100/B8</f>
        <v>0</v>
      </c>
      <c r="F46" s="39">
        <f>C46*100/C8</f>
        <v>0</v>
      </c>
      <c r="G46" s="39">
        <f>D46*100/D8</f>
        <v>0</v>
      </c>
    </row>
    <row r="47" spans="1:7" ht="21.75" customHeight="1" x14ac:dyDescent="0.5">
      <c r="A47" s="52" t="s">
        <v>49</v>
      </c>
      <c r="B47" s="20">
        <v>57560</v>
      </c>
      <c r="C47" s="20"/>
      <c r="D47" s="20"/>
      <c r="E47" s="39">
        <f>B47*100/B8</f>
        <v>3.3171968649147074</v>
      </c>
      <c r="F47" s="39">
        <f>C47*100/C8</f>
        <v>0</v>
      </c>
      <c r="G47" s="39">
        <f>D47*100/D8</f>
        <v>0</v>
      </c>
    </row>
    <row r="48" spans="1:7" ht="21.75" customHeight="1" x14ac:dyDescent="0.5">
      <c r="A48" s="52" t="s">
        <v>50</v>
      </c>
      <c r="B48" s="20">
        <v>32160</v>
      </c>
      <c r="C48" s="20"/>
      <c r="D48" s="20"/>
      <c r="E48" s="39">
        <f>B48*100/B8</f>
        <v>1.8533886583679116</v>
      </c>
      <c r="F48" s="39">
        <f>C48*100/C8</f>
        <v>0</v>
      </c>
      <c r="G48" s="39">
        <f>D48*100/D8</f>
        <v>0</v>
      </c>
    </row>
    <row r="49" spans="1:7" ht="21.75" customHeight="1" x14ac:dyDescent="0.5">
      <c r="A49" s="52" t="s">
        <v>51</v>
      </c>
      <c r="B49" s="20">
        <v>8883</v>
      </c>
      <c r="C49" s="20"/>
      <c r="D49" s="20"/>
      <c r="E49" s="39">
        <f>B49*100/B8</f>
        <v>0.51192946058091282</v>
      </c>
      <c r="F49" s="39">
        <f>C49*100/C8</f>
        <v>0</v>
      </c>
      <c r="G49" s="39">
        <f>D49*100/D8</f>
        <v>0</v>
      </c>
    </row>
    <row r="50" spans="1:7" ht="21.75" customHeight="1" x14ac:dyDescent="0.5">
      <c r="A50" s="52" t="s">
        <v>256</v>
      </c>
      <c r="B50" s="20">
        <v>3000</v>
      </c>
      <c r="C50" s="20"/>
      <c r="D50" s="20"/>
      <c r="E50" s="39"/>
      <c r="F50" s="39"/>
      <c r="G50" s="39"/>
    </row>
    <row r="51" spans="1:7" s="36" customFormat="1" ht="21.75" customHeight="1" x14ac:dyDescent="0.5">
      <c r="A51" s="17" t="s">
        <v>195</v>
      </c>
      <c r="B51" s="18">
        <f>B44+B45+B46+B47+B48+B49+B50</f>
        <v>985595</v>
      </c>
      <c r="C51" s="18">
        <f>C44+C45+C46+C47+C48+C49+C50</f>
        <v>2000</v>
      </c>
      <c r="D51" s="18">
        <f>D44+D45+D46+D47+D48+D49+D50</f>
        <v>0</v>
      </c>
      <c r="E51" s="39">
        <f>B51*100/B8</f>
        <v>56.800080682342092</v>
      </c>
      <c r="F51" s="39">
        <f>C51*100/C8</f>
        <v>9.6050407253726752E-2</v>
      </c>
      <c r="G51" s="39">
        <f>D51*100/D8</f>
        <v>0</v>
      </c>
    </row>
    <row r="52" spans="1:7" s="36" customFormat="1" ht="21.75" customHeight="1" x14ac:dyDescent="0.5">
      <c r="A52" s="24" t="s">
        <v>52</v>
      </c>
      <c r="B52" s="18">
        <f>'งบ ตท'!B9</f>
        <v>0</v>
      </c>
      <c r="C52" s="18">
        <f>B54</f>
        <v>0</v>
      </c>
      <c r="D52" s="18">
        <f>C54</f>
        <v>0</v>
      </c>
      <c r="E52" s="39">
        <f>B52*100/B8</f>
        <v>0</v>
      </c>
      <c r="F52" s="39">
        <f>C52*100/C8</f>
        <v>0</v>
      </c>
      <c r="G52" s="39">
        <f>D52*100/D8</f>
        <v>0</v>
      </c>
    </row>
    <row r="53" spans="1:7" s="36" customFormat="1" ht="21.75" customHeight="1" x14ac:dyDescent="0.5">
      <c r="A53" s="17" t="s">
        <v>195</v>
      </c>
      <c r="B53" s="18">
        <f>B51+B52</f>
        <v>985595</v>
      </c>
      <c r="C53" s="18">
        <f>C51+C52</f>
        <v>2000</v>
      </c>
      <c r="D53" s="18">
        <f>D51+D52</f>
        <v>0</v>
      </c>
      <c r="E53" s="39">
        <f>B53*100/B8</f>
        <v>56.800080682342092</v>
      </c>
      <c r="F53" s="39">
        <f>C53*100/C8</f>
        <v>9.6050407253726752E-2</v>
      </c>
      <c r="G53" s="39">
        <f>D53*100/D8</f>
        <v>0</v>
      </c>
    </row>
    <row r="54" spans="1:7" ht="21.75" customHeight="1" x14ac:dyDescent="0.5">
      <c r="A54" s="24" t="s">
        <v>53</v>
      </c>
      <c r="B54" s="20"/>
      <c r="C54" s="20"/>
      <c r="D54" s="20"/>
      <c r="E54" s="39">
        <f>B54*100/B8</f>
        <v>0</v>
      </c>
      <c r="F54" s="39">
        <f>C54*100/C8</f>
        <v>0</v>
      </c>
      <c r="G54" s="39">
        <f>D54*100/D8</f>
        <v>0</v>
      </c>
    </row>
    <row r="55" spans="1:7" s="36" customFormat="1" ht="21.75" customHeight="1" x14ac:dyDescent="0.5">
      <c r="A55" s="17" t="s">
        <v>196</v>
      </c>
      <c r="B55" s="18">
        <f>B53-B54</f>
        <v>985595</v>
      </c>
      <c r="C55" s="18">
        <f>C53-C54</f>
        <v>2000</v>
      </c>
      <c r="D55" s="18">
        <f>D53-D54</f>
        <v>0</v>
      </c>
      <c r="E55" s="39">
        <f>B55*100/B8</f>
        <v>56.800080682342092</v>
      </c>
      <c r="F55" s="39">
        <f>C55*100/C8</f>
        <v>9.6050407253726752E-2</v>
      </c>
      <c r="G55" s="39">
        <f>D55*100/D8</f>
        <v>0</v>
      </c>
    </row>
    <row r="56" spans="1:7" s="36" customFormat="1" ht="21.75" customHeight="1" x14ac:dyDescent="0.5">
      <c r="A56" s="24" t="s">
        <v>54</v>
      </c>
      <c r="B56" s="18">
        <f>'งบ ตท'!B10</f>
        <v>0</v>
      </c>
      <c r="C56" s="18">
        <f>B58</f>
        <v>0</v>
      </c>
      <c r="D56" s="18">
        <f>C58</f>
        <v>0</v>
      </c>
      <c r="E56" s="39">
        <f>B56*100/B8</f>
        <v>0</v>
      </c>
      <c r="F56" s="39">
        <f>C56*100/C8</f>
        <v>0</v>
      </c>
      <c r="G56" s="39">
        <f>D56*100/D8</f>
        <v>0</v>
      </c>
    </row>
    <row r="57" spans="1:7" s="36" customFormat="1" ht="21.75" customHeight="1" x14ac:dyDescent="0.5">
      <c r="A57" s="17" t="s">
        <v>197</v>
      </c>
      <c r="B57" s="18">
        <f>B55+B56</f>
        <v>985595</v>
      </c>
      <c r="C57" s="18">
        <f>C55+C56</f>
        <v>2000</v>
      </c>
      <c r="D57" s="18">
        <f>D55+D56</f>
        <v>0</v>
      </c>
      <c r="E57" s="39">
        <f>B57*100/B8</f>
        <v>56.800080682342092</v>
      </c>
      <c r="F57" s="39">
        <f>C57*100/C8</f>
        <v>9.6050407253726752E-2</v>
      </c>
      <c r="G57" s="39">
        <f>D57*100/D8</f>
        <v>0</v>
      </c>
    </row>
    <row r="58" spans="1:7" ht="21.75" customHeight="1" x14ac:dyDescent="0.5">
      <c r="A58" s="24" t="s">
        <v>55</v>
      </c>
      <c r="B58" s="20"/>
      <c r="C58" s="20"/>
      <c r="D58" s="20"/>
      <c r="E58" s="39">
        <f>B58*100/B8</f>
        <v>0</v>
      </c>
      <c r="F58" s="39">
        <f>C58*100/C8</f>
        <v>0</v>
      </c>
      <c r="G58" s="39">
        <f>D58*100/D8</f>
        <v>0</v>
      </c>
    </row>
    <row r="59" spans="1:7" s="36" customFormat="1" ht="21.75" customHeight="1" x14ac:dyDescent="0.5">
      <c r="A59" s="17" t="s">
        <v>56</v>
      </c>
      <c r="B59" s="18">
        <f>B57-B58</f>
        <v>985595</v>
      </c>
      <c r="C59" s="18">
        <f>C57-C58</f>
        <v>2000</v>
      </c>
      <c r="D59" s="18">
        <f>D57-D58</f>
        <v>0</v>
      </c>
      <c r="E59" s="39">
        <f>B59*100/B8</f>
        <v>56.800080682342092</v>
      </c>
      <c r="F59" s="39">
        <f>C59*100/C8</f>
        <v>9.6050407253726752E-2</v>
      </c>
      <c r="G59" s="39">
        <f>D59*100/D8</f>
        <v>0</v>
      </c>
    </row>
    <row r="60" spans="1:7" ht="21.75" customHeight="1" x14ac:dyDescent="0.5">
      <c r="A60" s="44"/>
    </row>
    <row r="61" spans="1:7" ht="21.75" customHeight="1" x14ac:dyDescent="0.5">
      <c r="A61" s="44"/>
    </row>
    <row r="62" spans="1:7" ht="21.75" customHeight="1" x14ac:dyDescent="0.5">
      <c r="A62" s="44"/>
    </row>
    <row r="63" spans="1:7" ht="21.75" customHeight="1" x14ac:dyDescent="0.5">
      <c r="A63" s="44"/>
    </row>
    <row r="64" spans="1:7" ht="21.75" customHeight="1" x14ac:dyDescent="0.5">
      <c r="A64" s="44"/>
    </row>
    <row r="65" spans="1:1" ht="21.75" customHeight="1" x14ac:dyDescent="0.5">
      <c r="A65" s="44"/>
    </row>
    <row r="66" spans="1:1" ht="21.75" customHeight="1" x14ac:dyDescent="0.5">
      <c r="A66" s="44"/>
    </row>
    <row r="67" spans="1:1" ht="21.75" customHeight="1" x14ac:dyDescent="0.5">
      <c r="A67" s="44"/>
    </row>
    <row r="68" spans="1:1" ht="21.75" customHeight="1" x14ac:dyDescent="0.5">
      <c r="A68" s="44"/>
    </row>
    <row r="69" spans="1:1" ht="21.75" customHeight="1" x14ac:dyDescent="0.5">
      <c r="A69" s="44"/>
    </row>
    <row r="70" spans="1:1" ht="21.75" customHeight="1" x14ac:dyDescent="0.5"/>
    <row r="71" spans="1:1" ht="21.75" customHeight="1" x14ac:dyDescent="0.5">
      <c r="A71" s="44"/>
    </row>
  </sheetData>
  <protectedRanges>
    <protectedRange sqref="B18:D18" name="ช่วง10"/>
    <protectedRange sqref="B8:D8" name="ช่วง1"/>
    <protectedRange sqref="B12:D14" name="ช่วง2"/>
    <protectedRange sqref="B15" name="ช่วง3"/>
    <protectedRange sqref="D18" name="ช่วง4"/>
    <protectedRange sqref="B39:D40" name="ช่วง5"/>
    <protectedRange sqref="B43:D43" name="ช่วง6"/>
    <protectedRange sqref="B45:D50" name="ช่วง7"/>
    <protectedRange sqref="B54:D54" name="ช่วง8"/>
    <protectedRange sqref="B58:D58" name="ช่วง9"/>
  </protectedRanges>
  <mergeCells count="3">
    <mergeCell ref="A2:G2"/>
    <mergeCell ref="A3:G3"/>
    <mergeCell ref="A4:G4"/>
  </mergeCells>
  <phoneticPr fontId="0" type="noConversion"/>
  <pageMargins left="0.24" right="0.1400000000000000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2" zoomScale="90" zoomScaleNormal="90" workbookViewId="0">
      <selection activeCell="B38" sqref="B38"/>
    </sheetView>
  </sheetViews>
  <sheetFormatPr defaultRowHeight="23.25" x14ac:dyDescent="0.5"/>
  <cols>
    <col min="1" max="1" width="42.85546875" style="36" customWidth="1"/>
    <col min="2" max="2" width="20" style="34" customWidth="1"/>
    <col min="3" max="3" width="14.28515625" style="34" customWidth="1"/>
    <col min="4" max="5" width="14.42578125" style="34" customWidth="1"/>
    <col min="6" max="6" width="9.140625" style="36"/>
    <col min="7" max="7" width="12.28515625" style="36" bestFit="1" customWidth="1"/>
    <col min="8" max="8" width="9.140625" style="36"/>
    <col min="9" max="9" width="10.7109375" style="36" bestFit="1" customWidth="1"/>
    <col min="10" max="10" width="12.28515625" style="36" bestFit="1" customWidth="1"/>
    <col min="11" max="16384" width="9.140625" style="36"/>
  </cols>
  <sheetData>
    <row r="1" spans="1:10" ht="21.75" customHeight="1" x14ac:dyDescent="0.5">
      <c r="A1" s="45" t="s">
        <v>199</v>
      </c>
    </row>
    <row r="2" spans="1:10" ht="21.75" customHeight="1" x14ac:dyDescent="0.5">
      <c r="A2" s="34" t="s">
        <v>244</v>
      </c>
    </row>
    <row r="3" spans="1:10" ht="21.75" customHeight="1" x14ac:dyDescent="0.5">
      <c r="A3" s="46" t="s">
        <v>0</v>
      </c>
      <c r="B3" s="47" t="s">
        <v>57</v>
      </c>
      <c r="C3" s="47" t="s">
        <v>30</v>
      </c>
      <c r="D3" s="47" t="s">
        <v>31</v>
      </c>
      <c r="E3" s="47" t="s">
        <v>32</v>
      </c>
    </row>
    <row r="4" spans="1:10" ht="21.75" customHeight="1" x14ac:dyDescent="0.5">
      <c r="A4" s="48" t="s">
        <v>58</v>
      </c>
      <c r="B4" s="49"/>
      <c r="C4" s="49"/>
      <c r="D4" s="49"/>
      <c r="E4" s="49"/>
    </row>
    <row r="5" spans="1:10" ht="21.75" customHeight="1" x14ac:dyDescent="0.5">
      <c r="A5" s="24" t="s">
        <v>235</v>
      </c>
      <c r="B5" s="18"/>
      <c r="C5" s="20"/>
      <c r="D5" s="20"/>
      <c r="E5" s="20"/>
      <c r="J5" s="51"/>
    </row>
    <row r="6" spans="1:10" ht="21.75" customHeight="1" x14ac:dyDescent="0.5">
      <c r="A6" s="24" t="s">
        <v>236</v>
      </c>
      <c r="B6" s="18"/>
      <c r="C6" s="18">
        <f>PLงบกำไรผลิตกรรม!B8-C5</f>
        <v>1735200</v>
      </c>
      <c r="D6" s="18">
        <f>PLงบกำไรผลิตกรรม!C8-D5</f>
        <v>2082240</v>
      </c>
      <c r="E6" s="18">
        <f>PLงบกำไรผลิตกรรม!D8-E5</f>
        <v>2602800</v>
      </c>
      <c r="J6" s="51"/>
    </row>
    <row r="7" spans="1:10" ht="21.75" customHeight="1" x14ac:dyDescent="0.5">
      <c r="A7" s="24" t="s">
        <v>237</v>
      </c>
      <c r="B7" s="18"/>
      <c r="C7" s="18">
        <f>PLงบกำไรผลิตกรรม!B18</f>
        <v>0</v>
      </c>
      <c r="D7" s="18">
        <f>PLงบกำไรผลิตกรรม!C18</f>
        <v>0</v>
      </c>
      <c r="E7" s="18">
        <f>PLงบกำไรผลิตกรรม!D18</f>
        <v>0</v>
      </c>
      <c r="J7" s="51"/>
    </row>
    <row r="8" spans="1:10" ht="21.75" customHeight="1" x14ac:dyDescent="0.5">
      <c r="A8" s="17" t="s">
        <v>238</v>
      </c>
      <c r="B8" s="49">
        <f>SUM(B5:B7)</f>
        <v>0</v>
      </c>
      <c r="C8" s="49">
        <f>SUM(C5:C7)</f>
        <v>1735200</v>
      </c>
      <c r="D8" s="49">
        <f>SUM(D5:D7)</f>
        <v>2082240</v>
      </c>
      <c r="E8" s="49">
        <f>SUM(E5:E7)</f>
        <v>2602800</v>
      </c>
      <c r="J8" s="51"/>
    </row>
    <row r="9" spans="1:10" ht="21.75" customHeight="1" x14ac:dyDescent="0.5">
      <c r="A9" s="48" t="s">
        <v>59</v>
      </c>
      <c r="B9" s="49"/>
      <c r="C9" s="49"/>
      <c r="D9" s="49"/>
      <c r="E9" s="49"/>
      <c r="J9" s="51"/>
    </row>
    <row r="10" spans="1:10" ht="21.75" customHeight="1" x14ac:dyDescent="0.5">
      <c r="A10" s="52" t="s">
        <v>60</v>
      </c>
      <c r="B10" s="18"/>
      <c r="C10" s="18"/>
      <c r="D10" s="18"/>
      <c r="E10" s="18"/>
      <c r="J10" s="51"/>
    </row>
    <row r="11" spans="1:10" ht="21.75" customHeight="1" x14ac:dyDescent="0.5">
      <c r="A11" s="24" t="s">
        <v>61</v>
      </c>
      <c r="B11" s="18">
        <f>'งบ ตท'!B8</f>
        <v>5000</v>
      </c>
      <c r="C11" s="18">
        <f>PLงบกำไรผลิตกรรม!B39</f>
        <v>804192</v>
      </c>
      <c r="D11" s="18">
        <f>PLงบกำไรผลิตกรรม!C39</f>
        <v>0</v>
      </c>
      <c r="E11" s="18">
        <f>PLงบกำไรผลิตกรรม!D39</f>
        <v>0</v>
      </c>
      <c r="J11" s="51"/>
    </row>
    <row r="12" spans="1:10" ht="21.75" customHeight="1" x14ac:dyDescent="0.5">
      <c r="A12" s="24" t="s">
        <v>102</v>
      </c>
      <c r="B12" s="18">
        <f>'งบ ตท'!B9</f>
        <v>0</v>
      </c>
      <c r="C12" s="18"/>
      <c r="D12" s="18"/>
      <c r="E12" s="18"/>
      <c r="J12" s="51"/>
    </row>
    <row r="13" spans="1:10" ht="21.75" customHeight="1" x14ac:dyDescent="0.5">
      <c r="A13" s="24" t="s">
        <v>63</v>
      </c>
      <c r="B13" s="18">
        <f>'งบ ตท'!B10</f>
        <v>0</v>
      </c>
      <c r="C13" s="18"/>
      <c r="D13" s="18"/>
      <c r="E13" s="18"/>
      <c r="J13" s="51"/>
    </row>
    <row r="14" spans="1:10" ht="21.75" customHeight="1" x14ac:dyDescent="0.5">
      <c r="A14" s="24" t="s">
        <v>62</v>
      </c>
      <c r="B14" s="18">
        <f>'งบ ตท'!B11</f>
        <v>2000</v>
      </c>
      <c r="C14" s="18">
        <f>PLงบกำไรผลิตกรรม!B50</f>
        <v>3000</v>
      </c>
      <c r="D14" s="18">
        <f>PLงบกำไรผลิตกรรม!C50</f>
        <v>0</v>
      </c>
      <c r="E14" s="18">
        <f>PLงบกำไรผลิตกรรม!D50</f>
        <v>0</v>
      </c>
      <c r="J14" s="51"/>
    </row>
    <row r="15" spans="1:10" ht="21.75" customHeight="1" x14ac:dyDescent="0.5">
      <c r="A15" s="24" t="s">
        <v>64</v>
      </c>
      <c r="B15" s="18"/>
      <c r="C15" s="18">
        <f>PLงบกำไรผลิตกรรม!B40</f>
        <v>0</v>
      </c>
      <c r="D15" s="18">
        <f>PLงบกำไรผลิตกรรม!C40</f>
        <v>0</v>
      </c>
      <c r="E15" s="18">
        <f>PLงบกำไรผลิตกรรม!D40</f>
        <v>0</v>
      </c>
      <c r="J15" s="51"/>
    </row>
    <row r="16" spans="1:10" ht="21.75" customHeight="1" x14ac:dyDescent="0.5">
      <c r="A16" s="24" t="s">
        <v>65</v>
      </c>
      <c r="B16" s="18"/>
      <c r="C16" s="18"/>
      <c r="D16" s="18"/>
      <c r="E16" s="18"/>
      <c r="J16" s="51"/>
    </row>
    <row r="17" spans="1:5" ht="21.75" customHeight="1" x14ac:dyDescent="0.5">
      <c r="A17" s="24" t="s">
        <v>66</v>
      </c>
      <c r="B17" s="18"/>
      <c r="C17" s="18">
        <f>PLงบกำไรผลิตกรรม!B45</f>
        <v>76800</v>
      </c>
      <c r="D17" s="18">
        <f>PLงบกำไรผลิตกรรม!C45</f>
        <v>0</v>
      </c>
      <c r="E17" s="18">
        <f>PLงบกำไรผลิตกรรม!D45</f>
        <v>0</v>
      </c>
    </row>
    <row r="18" spans="1:5" ht="21.75" customHeight="1" x14ac:dyDescent="0.5">
      <c r="A18" s="24" t="s">
        <v>67</v>
      </c>
      <c r="B18" s="18"/>
      <c r="C18" s="18">
        <f>PLงบกำไรผลิตกรรม!B46</f>
        <v>0</v>
      </c>
      <c r="D18" s="18">
        <f>PLงบกำไรผลิตกรรม!C46</f>
        <v>0</v>
      </c>
      <c r="E18" s="18">
        <f>PLงบกำไรผลิตกรรม!D46</f>
        <v>0</v>
      </c>
    </row>
    <row r="19" spans="1:5" ht="21.75" customHeight="1" x14ac:dyDescent="0.5">
      <c r="A19" s="24" t="s">
        <v>68</v>
      </c>
      <c r="B19" s="18"/>
      <c r="C19" s="18">
        <f>PLงบกำไรผลิตกรรม!B47</f>
        <v>57560</v>
      </c>
      <c r="D19" s="18">
        <f>PLงบกำไรผลิตกรรม!C47</f>
        <v>0</v>
      </c>
      <c r="E19" s="18">
        <f>PLงบกำไรผลิตกรรม!D47</f>
        <v>0</v>
      </c>
    </row>
    <row r="20" spans="1:5" ht="21.75" customHeight="1" x14ac:dyDescent="0.5">
      <c r="A20" s="24" t="s">
        <v>69</v>
      </c>
      <c r="B20" s="18"/>
      <c r="C20" s="18">
        <f>PLงบกำไรผลิตกรรม!B48</f>
        <v>32160</v>
      </c>
      <c r="D20" s="18">
        <f>PLงบกำไรผลิตกรรม!C48</f>
        <v>0</v>
      </c>
      <c r="E20" s="18">
        <f>PLงบกำไรผลิตกรรม!D48</f>
        <v>0</v>
      </c>
    </row>
    <row r="21" spans="1:5" ht="21.75" customHeight="1" x14ac:dyDescent="0.5">
      <c r="A21" s="24" t="s">
        <v>34</v>
      </c>
      <c r="B21" s="18"/>
      <c r="C21" s="18">
        <f>PLงบกำไรผลิตกรรม!B12</f>
        <v>76800</v>
      </c>
      <c r="D21" s="18">
        <f>PLงบกำไรผลิตกรรม!C12</f>
        <v>0</v>
      </c>
      <c r="E21" s="18">
        <f>PLงบกำไรผลิตกรรม!D12</f>
        <v>0</v>
      </c>
    </row>
    <row r="22" spans="1:5" ht="21.75" customHeight="1" x14ac:dyDescent="0.5">
      <c r="A22" s="24" t="s">
        <v>35</v>
      </c>
      <c r="B22" s="18"/>
      <c r="C22" s="18">
        <f>PLงบกำไรผลิตกรรม!B13</f>
        <v>211200</v>
      </c>
      <c r="D22" s="18">
        <f>PLงบกำไรผลิตกรรม!C13</f>
        <v>0</v>
      </c>
      <c r="E22" s="18">
        <f>PLงบกำไรผลิตกรรม!D13</f>
        <v>0</v>
      </c>
    </row>
    <row r="23" spans="1:5" ht="21.75" customHeight="1" x14ac:dyDescent="0.5">
      <c r="A23" s="24" t="s">
        <v>70</v>
      </c>
      <c r="B23" s="18"/>
      <c r="C23" s="18"/>
      <c r="D23" s="18">
        <f>PLงบกำไรผลิตกรรม!B22</f>
        <v>8676</v>
      </c>
      <c r="E23" s="18">
        <f>PLงบกำไรผลิตกรรม!C22</f>
        <v>10411.200000000001</v>
      </c>
    </row>
    <row r="24" spans="1:5" ht="21.75" customHeight="1" x14ac:dyDescent="0.5">
      <c r="A24" s="52" t="s">
        <v>71</v>
      </c>
      <c r="B24" s="18"/>
      <c r="C24" s="18"/>
      <c r="D24" s="18"/>
      <c r="E24" s="18"/>
    </row>
    <row r="25" spans="1:5" ht="21.75" customHeight="1" x14ac:dyDescent="0.5">
      <c r="A25" s="24" t="s">
        <v>72</v>
      </c>
      <c r="B25" s="18">
        <f>'งบ ตท'!B16</f>
        <v>0</v>
      </c>
      <c r="C25" s="18"/>
      <c r="D25" s="18"/>
      <c r="E25" s="18"/>
    </row>
    <row r="26" spans="1:5" ht="21.75" customHeight="1" x14ac:dyDescent="0.5">
      <c r="A26" s="24" t="s">
        <v>73</v>
      </c>
      <c r="B26" s="18">
        <f>'งบ ตท'!B17</f>
        <v>50000</v>
      </c>
      <c r="C26" s="18"/>
      <c r="D26" s="18"/>
      <c r="E26" s="18"/>
    </row>
    <row r="27" spans="1:5" ht="21.75" customHeight="1" x14ac:dyDescent="0.5">
      <c r="A27" s="24" t="s">
        <v>107</v>
      </c>
      <c r="B27" s="18">
        <f>'งบ ตท'!B18</f>
        <v>17250</v>
      </c>
      <c r="C27" s="18"/>
      <c r="D27" s="18"/>
      <c r="E27" s="18"/>
    </row>
    <row r="28" spans="1:5" ht="21.75" customHeight="1" x14ac:dyDescent="0.5">
      <c r="A28" s="24" t="s">
        <v>108</v>
      </c>
      <c r="B28" s="18">
        <f>'งบ ตท'!B19</f>
        <v>10000</v>
      </c>
      <c r="C28" s="18"/>
      <c r="D28" s="18"/>
      <c r="E28" s="18"/>
    </row>
    <row r="29" spans="1:5" ht="21.75" customHeight="1" x14ac:dyDescent="0.5">
      <c r="A29" s="24" t="s">
        <v>74</v>
      </c>
      <c r="B29" s="18">
        <f>'งบ ตท'!B20</f>
        <v>3600</v>
      </c>
      <c r="C29" s="18"/>
      <c r="D29" s="18"/>
      <c r="E29" s="18"/>
    </row>
    <row r="30" spans="1:5" ht="21.75" customHeight="1" x14ac:dyDescent="0.5">
      <c r="A30" s="24" t="s">
        <v>75</v>
      </c>
      <c r="B30" s="18">
        <f>'งบ ตท'!B21</f>
        <v>0</v>
      </c>
      <c r="C30" s="18"/>
      <c r="D30" s="18"/>
      <c r="E30" s="18"/>
    </row>
    <row r="31" spans="1:5" ht="21.75" customHeight="1" x14ac:dyDescent="0.5">
      <c r="A31" s="24" t="s">
        <v>76</v>
      </c>
      <c r="B31" s="18">
        <f>'งบ ตท'!B24</f>
        <v>39000</v>
      </c>
      <c r="C31" s="18"/>
      <c r="D31" s="18"/>
      <c r="E31" s="18"/>
    </row>
    <row r="32" spans="1:5" ht="21.75" customHeight="1" x14ac:dyDescent="0.5">
      <c r="A32" s="24" t="s">
        <v>77</v>
      </c>
      <c r="B32" s="18">
        <f>'งบ ตท'!B25</f>
        <v>0</v>
      </c>
      <c r="C32" s="18"/>
      <c r="D32" s="18"/>
      <c r="E32" s="18"/>
    </row>
    <row r="33" spans="1:5" ht="21.75" customHeight="1" x14ac:dyDescent="0.5">
      <c r="A33" s="17" t="s">
        <v>239</v>
      </c>
      <c r="B33" s="49">
        <f>SUM(B11:B32)</f>
        <v>126850</v>
      </c>
      <c r="C33" s="49">
        <f>SUM(C11:C32)</f>
        <v>1261712</v>
      </c>
      <c r="D33" s="49">
        <f>SUM(D11:D32)</f>
        <v>8676</v>
      </c>
      <c r="E33" s="49">
        <f>SUM(E11:E32)</f>
        <v>10411.200000000001</v>
      </c>
    </row>
    <row r="34" spans="1:5" ht="21.75" customHeight="1" x14ac:dyDescent="0.5">
      <c r="A34" s="48" t="s">
        <v>78</v>
      </c>
      <c r="B34" s="49">
        <f>B8-B33</f>
        <v>-126850</v>
      </c>
      <c r="C34" s="49">
        <f>C8-C33</f>
        <v>473488</v>
      </c>
      <c r="D34" s="49">
        <f>D8-D33</f>
        <v>2073564</v>
      </c>
      <c r="E34" s="49">
        <f>E8-E33</f>
        <v>2592388.7999999998</v>
      </c>
    </row>
    <row r="35" spans="1:5" ht="21.75" customHeight="1" x14ac:dyDescent="0.5">
      <c r="A35" s="52" t="s">
        <v>240</v>
      </c>
      <c r="B35" s="18"/>
      <c r="C35" s="18">
        <f>B43</f>
        <v>25000</v>
      </c>
      <c r="D35" s="18">
        <f>C43</f>
        <v>370088</v>
      </c>
      <c r="E35" s="18">
        <f>D43</f>
        <v>2443652</v>
      </c>
    </row>
    <row r="36" spans="1:5" ht="21.75" customHeight="1" x14ac:dyDescent="0.5">
      <c r="A36" s="52" t="s">
        <v>241</v>
      </c>
      <c r="B36" s="18">
        <f>'งบ ตท'!E27</f>
        <v>31850</v>
      </c>
      <c r="C36" s="18"/>
      <c r="D36" s="18"/>
      <c r="E36" s="18"/>
    </row>
    <row r="37" spans="1:5" ht="21.75" customHeight="1" x14ac:dyDescent="0.5">
      <c r="A37" s="52" t="s">
        <v>242</v>
      </c>
      <c r="B37" s="18">
        <f>'งบ ตท'!D27</f>
        <v>0</v>
      </c>
      <c r="C37" s="18"/>
      <c r="D37" s="18"/>
      <c r="E37" s="18"/>
    </row>
    <row r="38" spans="1:5" ht="21.75" customHeight="1" x14ac:dyDescent="0.5">
      <c r="A38" s="52" t="s">
        <v>259</v>
      </c>
      <c r="B38" s="18">
        <f>'งบ ตท'!C27</f>
        <v>120000</v>
      </c>
      <c r="C38" s="18"/>
      <c r="D38" s="18"/>
      <c r="E38" s="18"/>
    </row>
    <row r="39" spans="1:5" ht="21.75" customHeight="1" x14ac:dyDescent="0.5">
      <c r="A39" s="52" t="s">
        <v>260</v>
      </c>
      <c r="B39" s="18"/>
      <c r="C39" s="18">
        <f>'งบ ตท'!C36</f>
        <v>120000</v>
      </c>
      <c r="D39" s="18">
        <f>'งบ ตท'!C37</f>
        <v>0</v>
      </c>
      <c r="E39" s="18">
        <f>'งบ ตท'!C38</f>
        <v>0</v>
      </c>
    </row>
    <row r="40" spans="1:5" ht="21.75" customHeight="1" x14ac:dyDescent="0.5">
      <c r="A40" s="52" t="s">
        <v>261</v>
      </c>
      <c r="B40" s="18"/>
      <c r="C40" s="18">
        <f>'งบ ตท'!D36</f>
        <v>8400</v>
      </c>
      <c r="D40" s="18">
        <f>'งบ ตท'!D37</f>
        <v>0</v>
      </c>
      <c r="E40" s="18">
        <f>'งบ ตท'!D38</f>
        <v>0</v>
      </c>
    </row>
    <row r="41" spans="1:5" ht="21.75" customHeight="1" x14ac:dyDescent="0.5">
      <c r="A41" s="52" t="s">
        <v>262</v>
      </c>
      <c r="B41" s="18"/>
      <c r="C41" s="18">
        <f>'งบ ตท'!C47</f>
        <v>0</v>
      </c>
      <c r="D41" s="18">
        <f>'งบ ตท'!C48</f>
        <v>0</v>
      </c>
      <c r="E41" s="18">
        <f>'งบ ตท'!C49</f>
        <v>0</v>
      </c>
    </row>
    <row r="42" spans="1:5" ht="21.75" customHeight="1" x14ac:dyDescent="0.5">
      <c r="A42" s="52" t="s">
        <v>263</v>
      </c>
      <c r="B42" s="18"/>
      <c r="C42" s="18">
        <f>'งบ ตท'!D47</f>
        <v>0</v>
      </c>
      <c r="D42" s="18">
        <f>'งบ ตท'!D48</f>
        <v>0</v>
      </c>
      <c r="E42" s="18">
        <f>'งบ ตท'!D49</f>
        <v>0</v>
      </c>
    </row>
    <row r="43" spans="1:5" ht="21.75" customHeight="1" x14ac:dyDescent="0.5">
      <c r="A43" s="24" t="s">
        <v>243</v>
      </c>
      <c r="B43" s="49">
        <f>B34+B35+B36+B37+B38-B39-B40-B41-B42</f>
        <v>25000</v>
      </c>
      <c r="C43" s="49">
        <f>C34+C35+C36+C37+C38-C39-C40-C41-C42</f>
        <v>370088</v>
      </c>
      <c r="D43" s="49">
        <f>D34+D35+D36+D37+D38-D39-D40-D41-D42</f>
        <v>2443652</v>
      </c>
      <c r="E43" s="49">
        <f>E34+E35+E36+E37+E38-E39-E40-E41-E42</f>
        <v>5036040.8</v>
      </c>
    </row>
    <row r="44" spans="1:5" ht="21.75" customHeight="1" x14ac:dyDescent="0.5">
      <c r="B44" s="45" t="s">
        <v>200</v>
      </c>
    </row>
  </sheetData>
  <protectedRanges>
    <protectedRange sqref="C5:E5" name="ช่วง1"/>
  </protectedRanges>
  <phoneticPr fontId="6" type="noConversion"/>
  <pageMargins left="0.35433070866141736" right="0.35433070866141736" top="0" bottom="0" header="0.23622047244094491" footer="0.19685039370078741"/>
  <pageSetup paperSize="9" scale="87" fitToWidth="0" fitToHeight="0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5" zoomScale="88" zoomScaleNormal="88" workbookViewId="0">
      <selection activeCell="B7" sqref="B7"/>
    </sheetView>
  </sheetViews>
  <sheetFormatPr defaultRowHeight="18" customHeight="1" x14ac:dyDescent="0.5"/>
  <cols>
    <col min="1" max="1" width="37.5703125" style="29" customWidth="1"/>
    <col min="2" max="4" width="13.140625" style="55" customWidth="1"/>
    <col min="5" max="7" width="8.140625" style="56" customWidth="1"/>
    <col min="8" max="16384" width="9.140625" style="58"/>
  </cols>
  <sheetData>
    <row r="1" spans="1:8" s="29" customFormat="1" ht="18" customHeight="1" x14ac:dyDescent="0.5">
      <c r="A1" s="54" t="s">
        <v>205</v>
      </c>
      <c r="B1" s="55"/>
      <c r="C1" s="55"/>
      <c r="D1" s="55"/>
      <c r="E1" s="56"/>
      <c r="F1" s="56"/>
      <c r="G1" s="56"/>
    </row>
    <row r="2" spans="1:8" s="29" customFormat="1" ht="23.25" customHeight="1" x14ac:dyDescent="0.5">
      <c r="A2" s="125" t="s">
        <v>206</v>
      </c>
      <c r="B2" s="125"/>
      <c r="C2" s="125"/>
      <c r="D2" s="125"/>
      <c r="E2" s="125"/>
      <c r="F2" s="125"/>
      <c r="G2" s="125"/>
    </row>
    <row r="3" spans="1:8" s="29" customFormat="1" ht="18" customHeight="1" x14ac:dyDescent="0.5">
      <c r="A3" s="125" t="s">
        <v>79</v>
      </c>
      <c r="B3" s="125"/>
      <c r="C3" s="125"/>
      <c r="D3" s="125"/>
      <c r="E3" s="125"/>
      <c r="F3" s="125"/>
      <c r="G3" s="125"/>
    </row>
    <row r="4" spans="1:8" s="29" customFormat="1" ht="24" customHeight="1" x14ac:dyDescent="0.5">
      <c r="A4" s="125" t="s">
        <v>245</v>
      </c>
      <c r="B4" s="125"/>
      <c r="C4" s="125"/>
      <c r="D4" s="125"/>
      <c r="E4" s="125"/>
      <c r="F4" s="125"/>
      <c r="G4" s="125"/>
    </row>
    <row r="5" spans="1:8" s="29" customFormat="1" ht="18" customHeight="1" x14ac:dyDescent="0.5">
      <c r="A5" s="17" t="s">
        <v>247</v>
      </c>
      <c r="B5" s="12" t="s">
        <v>30</v>
      </c>
      <c r="C5" s="12" t="s">
        <v>31</v>
      </c>
      <c r="D5" s="12" t="s">
        <v>32</v>
      </c>
      <c r="E5" s="12" t="s">
        <v>30</v>
      </c>
      <c r="F5" s="57" t="s">
        <v>31</v>
      </c>
      <c r="G5" s="57" t="s">
        <v>32</v>
      </c>
    </row>
    <row r="6" spans="1:8" s="29" customFormat="1" ht="18" customHeight="1" x14ac:dyDescent="0.5">
      <c r="A6" s="48" t="s">
        <v>104</v>
      </c>
      <c r="B6" s="49"/>
      <c r="C6" s="49"/>
      <c r="D6" s="49"/>
      <c r="E6" s="60" t="s">
        <v>109</v>
      </c>
      <c r="F6" s="60" t="s">
        <v>109</v>
      </c>
      <c r="G6" s="60" t="s">
        <v>109</v>
      </c>
    </row>
    <row r="7" spans="1:8" s="29" customFormat="1" ht="18" customHeight="1" x14ac:dyDescent="0.5">
      <c r="A7" s="17" t="s">
        <v>248</v>
      </c>
      <c r="B7" s="49">
        <f>CFงบเงินสดผลิตกรรม!C43</f>
        <v>370088</v>
      </c>
      <c r="C7" s="49">
        <f>CFงบเงินสดผลิตกรรม!D43</f>
        <v>2443652</v>
      </c>
      <c r="D7" s="49">
        <f>CFงบเงินสดผลิตกรรม!E43</f>
        <v>5036040.8</v>
      </c>
      <c r="E7" s="53">
        <f>B7*100/B27</f>
        <v>82.231727233338148</v>
      </c>
      <c r="F7" s="53">
        <f>C7*100/C27</f>
        <v>97.40570550269139</v>
      </c>
      <c r="G7" s="53">
        <f>D7*100/D27</f>
        <v>98.896340704009774</v>
      </c>
    </row>
    <row r="8" spans="1:8" ht="18" customHeight="1" x14ac:dyDescent="0.5">
      <c r="A8" s="24" t="s">
        <v>80</v>
      </c>
      <c r="B8" s="18">
        <f>PLงบกำไรผลิตกรรม!B8-CFงบเงินสดผลิตกรรม!C5-CFงบเงินสดผลิตกรรม!C6</f>
        <v>0</v>
      </c>
      <c r="C8" s="18">
        <f>PLงบกำไรผลิตกรรม!C8-CFงบเงินสดผลิตกรรม!D5-CFงบเงินสดผลิตกรรม!D6</f>
        <v>0</v>
      </c>
      <c r="D8" s="18">
        <f>PLงบกำไรผลิตกรรม!D8-CFงบเงินสดผลิตกรรม!E5-CFงบเงินสดผลิตกรรม!E6</f>
        <v>0</v>
      </c>
      <c r="E8" s="53">
        <f>B8*100/B27</f>
        <v>0</v>
      </c>
      <c r="F8" s="53">
        <f>C8*100/C27</f>
        <v>0</v>
      </c>
      <c r="G8" s="53">
        <f>D8*100/D27</f>
        <v>0</v>
      </c>
    </row>
    <row r="9" spans="1:8" ht="18" customHeight="1" x14ac:dyDescent="0.5">
      <c r="A9" s="24" t="s">
        <v>81</v>
      </c>
      <c r="B9" s="18">
        <f>PLงบกำไรผลิตกรรม!B58</f>
        <v>0</v>
      </c>
      <c r="C9" s="18">
        <f>PLงบกำไรผลิตกรรม!C58</f>
        <v>0</v>
      </c>
      <c r="D9" s="18">
        <f>PLงบกำไรผลิตกรรม!D58</f>
        <v>0</v>
      </c>
      <c r="E9" s="53">
        <f>B9*100/B27</f>
        <v>0</v>
      </c>
      <c r="F9" s="53">
        <f>C9*100/C27</f>
        <v>0</v>
      </c>
      <c r="G9" s="53">
        <f>D9*100/D27</f>
        <v>0</v>
      </c>
    </row>
    <row r="10" spans="1:8" ht="18" customHeight="1" x14ac:dyDescent="0.5">
      <c r="A10" s="24" t="s">
        <v>82</v>
      </c>
      <c r="B10" s="18">
        <f>PLงบกำไรผลิตกรรม!B54</f>
        <v>0</v>
      </c>
      <c r="C10" s="18">
        <f>PLงบกำไรผลิตกรรม!C54</f>
        <v>0</v>
      </c>
      <c r="D10" s="18">
        <f>PLงบกำไรผลิตกรรม!D54</f>
        <v>0</v>
      </c>
      <c r="E10" s="53">
        <f>B10*100/B27</f>
        <v>0</v>
      </c>
      <c r="F10" s="53">
        <f>C10*100/C27</f>
        <v>0</v>
      </c>
      <c r="G10" s="53">
        <f>D10*100/D27</f>
        <v>0</v>
      </c>
    </row>
    <row r="11" spans="1:8" ht="18" customHeight="1" x14ac:dyDescent="0.5">
      <c r="A11" s="24" t="s">
        <v>83</v>
      </c>
      <c r="B11" s="18">
        <f>PLงบกำไรผลิตกรรม!B43</f>
        <v>2000</v>
      </c>
      <c r="C11" s="18">
        <f>PLงบกำไรผลิตกรรม!C43</f>
        <v>0</v>
      </c>
      <c r="D11" s="18">
        <f>PLงบกำไรผลิตกรรม!D43</f>
        <v>0</v>
      </c>
      <c r="E11" s="53">
        <f>B11*100/B27</f>
        <v>0.44439013009521061</v>
      </c>
      <c r="F11" s="53">
        <f>C11*100/C27</f>
        <v>0</v>
      </c>
      <c r="G11" s="53">
        <f>D11*100/D27</f>
        <v>0</v>
      </c>
    </row>
    <row r="12" spans="1:8" ht="18" customHeight="1" x14ac:dyDescent="0.5">
      <c r="A12" s="24" t="s">
        <v>84</v>
      </c>
      <c r="B12" s="18">
        <f>'งบ ตท'!B11</f>
        <v>2000</v>
      </c>
      <c r="C12" s="18">
        <f>B12+CFงบเงินสดผลิตกรรม!D13</f>
        <v>2000</v>
      </c>
      <c r="D12" s="18">
        <f>C12+CFงบเงินสดผลิตกรรม!E13</f>
        <v>2000</v>
      </c>
      <c r="E12" s="53">
        <f>B12*100/B27</f>
        <v>0.44439013009521061</v>
      </c>
      <c r="F12" s="53">
        <f>C12*100/C27</f>
        <v>7.9721421464833284E-2</v>
      </c>
      <c r="G12" s="53">
        <f>D12*100/D27</f>
        <v>3.9275432678785992E-2</v>
      </c>
    </row>
    <row r="13" spans="1:8" ht="18" customHeight="1" x14ac:dyDescent="0.5">
      <c r="A13" s="24" t="s">
        <v>249</v>
      </c>
      <c r="B13" s="18">
        <f>B7+B8+B9+B10+B11+B12</f>
        <v>374088</v>
      </c>
      <c r="C13" s="18">
        <f>C7+C8+C9+C10+C11+C12</f>
        <v>2445652</v>
      </c>
      <c r="D13" s="18">
        <f>D7+D8+D9+D10+D11+D12</f>
        <v>5038040.8</v>
      </c>
      <c r="E13" s="53">
        <f>B13*100/B27</f>
        <v>83.120507493528564</v>
      </c>
      <c r="F13" s="53">
        <f>C13*100/C27</f>
        <v>97.485426924156229</v>
      </c>
      <c r="G13" s="53">
        <f>D13*100/D27</f>
        <v>98.935616136688566</v>
      </c>
    </row>
    <row r="14" spans="1:8" ht="18" customHeight="1" x14ac:dyDescent="0.5">
      <c r="A14" s="48" t="s">
        <v>85</v>
      </c>
      <c r="B14" s="18"/>
      <c r="C14" s="18"/>
      <c r="D14" s="18"/>
      <c r="E14" s="53"/>
      <c r="F14" s="53"/>
      <c r="G14" s="53"/>
      <c r="H14" s="29"/>
    </row>
    <row r="15" spans="1:8" ht="18" customHeight="1" x14ac:dyDescent="0.5">
      <c r="A15" s="24" t="s">
        <v>86</v>
      </c>
      <c r="B15" s="18">
        <f>'งบ ตท'!B16+CFงบเงินสดผลิตกรรม!C25</f>
        <v>0</v>
      </c>
      <c r="C15" s="18">
        <f>B15+CFงบเงินสดผลิตกรรม!C25</f>
        <v>0</v>
      </c>
      <c r="D15" s="18">
        <f>C15+CFงบเงินสดผลิตกรรม!D25</f>
        <v>0</v>
      </c>
      <c r="E15" s="53">
        <f>B15*100/B27</f>
        <v>0</v>
      </c>
      <c r="F15" s="53">
        <f>C15*100/C27</f>
        <v>0</v>
      </c>
      <c r="G15" s="53">
        <f>D15*100/D27</f>
        <v>0</v>
      </c>
    </row>
    <row r="16" spans="1:8" ht="18" customHeight="1" x14ac:dyDescent="0.5">
      <c r="A16" s="24" t="s">
        <v>87</v>
      </c>
      <c r="B16" s="18">
        <f>'งบ ตท'!B17+CFงบเงินสดผลิตกรรม!C26</f>
        <v>50000</v>
      </c>
      <c r="C16" s="18">
        <f>B16+CFงบเงินสดผลิตกรรม!C26</f>
        <v>50000</v>
      </c>
      <c r="D16" s="18">
        <f>C16+CFงบเงินสดผลิตกรรม!D26</f>
        <v>50000</v>
      </c>
      <c r="E16" s="53">
        <f>B16*100/B27</f>
        <v>11.109753252380264</v>
      </c>
      <c r="F16" s="53">
        <f>C16*100/C27</f>
        <v>1.9930355366208321</v>
      </c>
      <c r="G16" s="53">
        <f>D16*100/D27</f>
        <v>0.98188581696964983</v>
      </c>
    </row>
    <row r="17" spans="1:7" ht="18" customHeight="1" x14ac:dyDescent="0.5">
      <c r="A17" s="24" t="s">
        <v>88</v>
      </c>
      <c r="B17" s="18">
        <f>'งบ ตท'!B18+CFงบเงินสดผลิตกรรม!C27</f>
        <v>17250</v>
      </c>
      <c r="C17" s="18">
        <f>B17+CFงบเงินสดผลิตกรรม!C27</f>
        <v>17250</v>
      </c>
      <c r="D17" s="18">
        <f>C17+CFงบเงินสดผลิตกรรม!D27</f>
        <v>17250</v>
      </c>
      <c r="E17" s="53">
        <f>B17*100/B27</f>
        <v>3.8328648720711911</v>
      </c>
      <c r="F17" s="53">
        <f>C17*100/C27</f>
        <v>0.68759726013418709</v>
      </c>
      <c r="G17" s="53">
        <f>D17*100/D27</f>
        <v>0.33875060685452918</v>
      </c>
    </row>
    <row r="18" spans="1:7" ht="18" customHeight="1" x14ac:dyDescent="0.5">
      <c r="A18" s="24" t="s">
        <v>89</v>
      </c>
      <c r="B18" s="18">
        <f>'งบ ตท'!B19+CFงบเงินสดผลิตกรรม!C28</f>
        <v>10000</v>
      </c>
      <c r="C18" s="18">
        <f>B18+CFงบเงินสดผลิตกรรม!C28</f>
        <v>10000</v>
      </c>
      <c r="D18" s="18">
        <f>C18+CFงบเงินสดผลิตกรรม!D28</f>
        <v>10000</v>
      </c>
      <c r="E18" s="53">
        <f>B18*100/B27</f>
        <v>2.2219506504760531</v>
      </c>
      <c r="F18" s="53">
        <f>C18*100/C27</f>
        <v>0.39860710732416643</v>
      </c>
      <c r="G18" s="53">
        <f>D18*100/D27</f>
        <v>0.19637716339392997</v>
      </c>
    </row>
    <row r="19" spans="1:7" ht="18" customHeight="1" x14ac:dyDescent="0.5">
      <c r="A19" s="24" t="s">
        <v>90</v>
      </c>
      <c r="B19" s="18">
        <f>'งบ ตท'!B20+CFงบเงินสดผลิตกรรม!C29</f>
        <v>3600</v>
      </c>
      <c r="C19" s="18">
        <f>B19+CFงบเงินสดผลิตกรรม!C29</f>
        <v>3600</v>
      </c>
      <c r="D19" s="18">
        <f>C19+CFงบเงินสดผลิตกรรม!D29</f>
        <v>3600</v>
      </c>
      <c r="E19" s="53">
        <f>B19*100/B27</f>
        <v>0.79990223417137907</v>
      </c>
      <c r="F19" s="53">
        <f>C19*100/C27</f>
        <v>0.14349855863669991</v>
      </c>
      <c r="G19" s="53">
        <f>D19*100/D27</f>
        <v>7.0695778821814784E-2</v>
      </c>
    </row>
    <row r="20" spans="1:7" ht="18" customHeight="1" x14ac:dyDescent="0.5">
      <c r="A20" s="24" t="s">
        <v>91</v>
      </c>
      <c r="B20" s="18">
        <f>'งบ ตท'!B21+CFงบเงินสดผลิตกรรม!C30</f>
        <v>0</v>
      </c>
      <c r="C20" s="18">
        <f>B20+CFงบเงินสดผลิตกรรม!C30</f>
        <v>0</v>
      </c>
      <c r="D20" s="18">
        <f>C20+CFงบเงินสดผลิตกรรม!D30</f>
        <v>0</v>
      </c>
      <c r="E20" s="53">
        <f>B20*100/B27</f>
        <v>0</v>
      </c>
      <c r="F20" s="53">
        <f>C20*100/C27</f>
        <v>0</v>
      </c>
      <c r="G20" s="53">
        <f>D20*100/D27</f>
        <v>0</v>
      </c>
    </row>
    <row r="21" spans="1:7" ht="18" customHeight="1" x14ac:dyDescent="0.5">
      <c r="A21" s="24" t="s">
        <v>250</v>
      </c>
      <c r="B21" s="18">
        <f>PLงบกำไรผลิตกรรม!B49+PLงบกำไรผลิตกรรม!B14</f>
        <v>8883</v>
      </c>
      <c r="C21" s="18">
        <f>B21*2</f>
        <v>17766</v>
      </c>
      <c r="D21" s="18">
        <f>B21*3</f>
        <v>26649</v>
      </c>
      <c r="E21" s="53">
        <f>B21*100/B27</f>
        <v>1.9737587628178779</v>
      </c>
      <c r="F21" s="53">
        <f>C21*100/C27</f>
        <v>0.70816538687211406</v>
      </c>
      <c r="G21" s="53">
        <f>D21*100/D27</f>
        <v>0.52332550272848399</v>
      </c>
    </row>
    <row r="22" spans="1:7" ht="18" customHeight="1" x14ac:dyDescent="0.5">
      <c r="A22" s="24" t="s">
        <v>251</v>
      </c>
      <c r="B22" s="18">
        <f>B15+B16+B17+B18+B19+B20-B21</f>
        <v>71967</v>
      </c>
      <c r="C22" s="18">
        <f>C15+C16+C17+C18+C19+C20-C21</f>
        <v>63084</v>
      </c>
      <c r="D22" s="18">
        <f>D15+D16+D17+D18+D19+D20-D21</f>
        <v>54201</v>
      </c>
      <c r="E22" s="53">
        <f>B22*100/B27</f>
        <v>15.99071224628101</v>
      </c>
      <c r="F22" s="53">
        <f>C22*100/C27</f>
        <v>2.5145730758437717</v>
      </c>
      <c r="G22" s="53">
        <f>D22*100/D27</f>
        <v>1.0643838633114397</v>
      </c>
    </row>
    <row r="23" spans="1:7" ht="18" customHeight="1" x14ac:dyDescent="0.5">
      <c r="A23" s="48" t="s">
        <v>92</v>
      </c>
      <c r="B23" s="18"/>
      <c r="C23" s="18"/>
      <c r="D23" s="18"/>
      <c r="E23" s="53"/>
      <c r="F23" s="53"/>
      <c r="G23" s="53"/>
    </row>
    <row r="24" spans="1:7" ht="18" customHeight="1" x14ac:dyDescent="0.5">
      <c r="A24" s="24" t="s">
        <v>105</v>
      </c>
      <c r="B24" s="18"/>
      <c r="C24" s="18"/>
      <c r="D24" s="18"/>
      <c r="E24" s="53">
        <f>B24*100/B27</f>
        <v>0</v>
      </c>
      <c r="F24" s="53">
        <f>C24*100/C27</f>
        <v>0</v>
      </c>
      <c r="G24" s="53">
        <f>D24*100/D27</f>
        <v>0</v>
      </c>
    </row>
    <row r="25" spans="1:7" ht="18" customHeight="1" x14ac:dyDescent="0.5">
      <c r="A25" s="24" t="s">
        <v>93</v>
      </c>
      <c r="B25" s="18"/>
      <c r="C25" s="18"/>
      <c r="D25" s="18"/>
      <c r="E25" s="53">
        <f>B25*100/B27</f>
        <v>0</v>
      </c>
      <c r="F25" s="53">
        <f>C25*100/C27</f>
        <v>0</v>
      </c>
      <c r="G25" s="53">
        <f>D25*100/D27</f>
        <v>0</v>
      </c>
    </row>
    <row r="26" spans="1:7" ht="18" customHeight="1" x14ac:dyDescent="0.5">
      <c r="A26" s="24" t="s">
        <v>252</v>
      </c>
      <c r="B26" s="18">
        <f>'งบ ตท'!B26-PLงบกำไรผลิตกรรม!B15</f>
        <v>4000</v>
      </c>
      <c r="C26" s="18">
        <f>'งบ ตท'!C26-PLงบกำไรผลิตกรรม!C15</f>
        <v>0</v>
      </c>
      <c r="D26" s="18">
        <f>'งบ ตท'!D26-PLงบกำไรผลิตกรรม!D15</f>
        <v>0</v>
      </c>
      <c r="E26" s="53">
        <f>B26*100/B27</f>
        <v>0.88878026019042122</v>
      </c>
      <c r="F26" s="53">
        <f>C26*100/C27</f>
        <v>0</v>
      </c>
      <c r="G26" s="53">
        <f>D26*100/D27</f>
        <v>0</v>
      </c>
    </row>
    <row r="27" spans="1:7" ht="18" customHeight="1" x14ac:dyDescent="0.5">
      <c r="A27" s="110" t="s">
        <v>264</v>
      </c>
      <c r="B27" s="111">
        <f>B13+B22+B26</f>
        <v>450055</v>
      </c>
      <c r="C27" s="111">
        <f>C13+C22+C26</f>
        <v>2508736</v>
      </c>
      <c r="D27" s="111">
        <f>D13+D22+D26</f>
        <v>5092241.8</v>
      </c>
      <c r="E27" s="112">
        <f>B27*100/B27</f>
        <v>100</v>
      </c>
      <c r="F27" s="112">
        <f>C27*100/C27</f>
        <v>100</v>
      </c>
      <c r="G27" s="112">
        <f>D27*100/D27</f>
        <v>100</v>
      </c>
    </row>
    <row r="28" spans="1:7" ht="18" customHeight="1" x14ac:dyDescent="0.5">
      <c r="A28" s="123"/>
      <c r="B28" s="123"/>
      <c r="C28" s="123"/>
      <c r="D28" s="123"/>
      <c r="E28" s="53"/>
      <c r="F28" s="53"/>
      <c r="G28" s="53"/>
    </row>
    <row r="29" spans="1:7" ht="18" customHeight="1" x14ac:dyDescent="0.5">
      <c r="A29" s="124" t="s">
        <v>253</v>
      </c>
      <c r="B29" s="124"/>
      <c r="C29" s="124"/>
      <c r="D29" s="124"/>
      <c r="E29" s="53"/>
      <c r="F29" s="53"/>
      <c r="G29" s="53"/>
    </row>
    <row r="30" spans="1:7" ht="18" customHeight="1" x14ac:dyDescent="0.5">
      <c r="A30" s="48" t="s">
        <v>94</v>
      </c>
      <c r="B30" s="18"/>
      <c r="C30" s="18"/>
      <c r="D30" s="18"/>
      <c r="E30" s="53"/>
      <c r="F30" s="53"/>
      <c r="G30" s="53"/>
    </row>
    <row r="31" spans="1:7" ht="18" customHeight="1" x14ac:dyDescent="0.5">
      <c r="A31" s="24" t="s">
        <v>95</v>
      </c>
      <c r="B31" s="18">
        <f>'งบ ตท'!B37</f>
        <v>0</v>
      </c>
      <c r="C31" s="18">
        <f>'งบ ตท'!B38</f>
        <v>0</v>
      </c>
      <c r="D31" s="18">
        <f>'งบ ตท'!B39</f>
        <v>0</v>
      </c>
      <c r="E31" s="53">
        <f>B31*100/B27</f>
        <v>0</v>
      </c>
      <c r="F31" s="53">
        <f>C31*100/C27</f>
        <v>0</v>
      </c>
      <c r="G31" s="53">
        <f>D31*100/D27</f>
        <v>0</v>
      </c>
    </row>
    <row r="32" spans="1:7" ht="18" customHeight="1" x14ac:dyDescent="0.5">
      <c r="A32" s="24" t="s">
        <v>96</v>
      </c>
      <c r="B32" s="18">
        <f>PLงบกำไรผลิตกรรม!B22</f>
        <v>8676</v>
      </c>
      <c r="C32" s="18">
        <f>PLงบกำไรผลิตกรรม!C22</f>
        <v>10411.200000000001</v>
      </c>
      <c r="D32" s="18">
        <f>PLงบกำไรผลิตกรรม!D22</f>
        <v>13014</v>
      </c>
      <c r="E32" s="53">
        <f>B32*100/B27</f>
        <v>1.9277643843530234</v>
      </c>
      <c r="F32" s="53">
        <f>C32*100/C27</f>
        <v>0.41499783157733622</v>
      </c>
      <c r="G32" s="53">
        <f>D32*100/D27</f>
        <v>0.25556524044086043</v>
      </c>
    </row>
    <row r="33" spans="1:7" ht="18" customHeight="1" x14ac:dyDescent="0.5">
      <c r="A33" s="24" t="s">
        <v>97</v>
      </c>
      <c r="B33" s="18"/>
      <c r="C33" s="18"/>
      <c r="D33" s="18"/>
      <c r="E33" s="53">
        <f>B33*100/B27</f>
        <v>0</v>
      </c>
      <c r="F33" s="53">
        <f>C33*100/C27</f>
        <v>0</v>
      </c>
      <c r="G33" s="53">
        <f>D33*100/D27</f>
        <v>0</v>
      </c>
    </row>
    <row r="34" spans="1:7" ht="18" customHeight="1" x14ac:dyDescent="0.5">
      <c r="A34" s="24" t="s">
        <v>98</v>
      </c>
      <c r="B34" s="18">
        <f>'งบ ตท'!B48</f>
        <v>0</v>
      </c>
      <c r="C34" s="18">
        <f>'งบ ตท'!B49</f>
        <v>0</v>
      </c>
      <c r="D34" s="18">
        <f>'งบ ตท'!B50</f>
        <v>0</v>
      </c>
      <c r="E34" s="53">
        <f>B34*100/B27</f>
        <v>0</v>
      </c>
      <c r="F34" s="53">
        <f>C34*100/C27</f>
        <v>0</v>
      </c>
      <c r="G34" s="53">
        <f>D34*100/D27</f>
        <v>0</v>
      </c>
    </row>
    <row r="35" spans="1:7" ht="18" customHeight="1" x14ac:dyDescent="0.5">
      <c r="A35" s="24" t="s">
        <v>254</v>
      </c>
      <c r="B35" s="18">
        <f>SUM(B31:B34)</f>
        <v>8676</v>
      </c>
      <c r="C35" s="18">
        <f>SUM(C31:C34)</f>
        <v>10411.200000000001</v>
      </c>
      <c r="D35" s="18">
        <f>SUM(D31:D34)</f>
        <v>13014</v>
      </c>
      <c r="E35" s="53">
        <f>B35*100/B27</f>
        <v>1.9277643843530234</v>
      </c>
      <c r="F35" s="53">
        <f>C35*100/C27</f>
        <v>0.41499783157733622</v>
      </c>
      <c r="G35" s="53">
        <f>D35*100/D27</f>
        <v>0.25556524044086043</v>
      </c>
    </row>
    <row r="36" spans="1:7" ht="18" customHeight="1" x14ac:dyDescent="0.5">
      <c r="A36" s="48" t="s">
        <v>99</v>
      </c>
      <c r="B36" s="18"/>
      <c r="C36" s="18"/>
      <c r="D36" s="18"/>
      <c r="E36" s="53">
        <f>B36*100/B27</f>
        <v>0</v>
      </c>
      <c r="F36" s="53">
        <f>C36*100/C27</f>
        <v>0</v>
      </c>
      <c r="G36" s="53">
        <f>D36*100/D27</f>
        <v>0</v>
      </c>
    </row>
    <row r="37" spans="1:7" ht="18" customHeight="1" x14ac:dyDescent="0.5">
      <c r="A37" s="24" t="s">
        <v>100</v>
      </c>
      <c r="B37" s="18">
        <f>CFงบเงินสดผลิตกรรม!B36+CFงบเงินสดผลิตกรรม!C36</f>
        <v>31850</v>
      </c>
      <c r="C37" s="18">
        <f>CFงบเงินสดผลิตกรรม!B36+CFงบเงินสดผลิตกรรม!C36:D36</f>
        <v>31850</v>
      </c>
      <c r="D37" s="18">
        <f>CFงบเงินสดผลิตกรรม!B36+CFงบเงินสดผลิตกรรม!C36:E36</f>
        <v>31850</v>
      </c>
      <c r="E37" s="53">
        <f>B37*100/B27</f>
        <v>7.0769128217662285</v>
      </c>
      <c r="F37" s="53">
        <f>C37*100/C27</f>
        <v>1.2695636368274701</v>
      </c>
      <c r="G37" s="53">
        <f>D37*100/D27</f>
        <v>0.62546126540966696</v>
      </c>
    </row>
    <row r="38" spans="1:7" ht="18" customHeight="1" x14ac:dyDescent="0.5">
      <c r="A38" s="24" t="s">
        <v>255</v>
      </c>
      <c r="B38" s="18">
        <f>PLงบกำไรผลิตกรรม!B23</f>
        <v>409529</v>
      </c>
      <c r="C38" s="18">
        <f>PLงบกำไรผลิตกรรม!B23+PLงบกำไรผลิตกรรม!C23</f>
        <v>2479357.7999999998</v>
      </c>
      <c r="D38" s="18">
        <f>PLงบกำไรผลิตกรรม!B23+PLงบกำไรผลิตกรรม!C23+PLงบกำไรผลิตกรรม!D23</f>
        <v>5069143.8</v>
      </c>
      <c r="E38" s="53">
        <f>B38*100/B27</f>
        <v>90.995322793880746</v>
      </c>
      <c r="F38" s="53">
        <f>C38*100/C27</f>
        <v>98.828964067960911</v>
      </c>
      <c r="G38" s="53">
        <f>D38*100/D27</f>
        <v>99.546408027992697</v>
      </c>
    </row>
    <row r="39" spans="1:7" ht="18" customHeight="1" x14ac:dyDescent="0.5">
      <c r="A39" s="17" t="s">
        <v>106</v>
      </c>
      <c r="B39" s="18">
        <f>B37+B38</f>
        <v>441379</v>
      </c>
      <c r="C39" s="18">
        <f>C37+C38</f>
        <v>2511207.7999999998</v>
      </c>
      <c r="D39" s="18">
        <f>D37+D38</f>
        <v>5100993.8</v>
      </c>
      <c r="E39" s="53">
        <f>B39*100/B27</f>
        <v>98.072235615646974</v>
      </c>
      <c r="F39" s="53">
        <f>C39*100/C27</f>
        <v>100.09852770478838</v>
      </c>
      <c r="G39" s="53">
        <f>D39*100/D27</f>
        <v>100.17186929340237</v>
      </c>
    </row>
    <row r="40" spans="1:7" ht="18" customHeight="1" x14ac:dyDescent="0.5">
      <c r="A40" s="110" t="s">
        <v>265</v>
      </c>
      <c r="B40" s="111">
        <f>B35+B39</f>
        <v>450055</v>
      </c>
      <c r="C40" s="111">
        <f>C35+C39</f>
        <v>2521619</v>
      </c>
      <c r="D40" s="111">
        <f>D35+D39</f>
        <v>5114007.8</v>
      </c>
      <c r="E40" s="112">
        <f>B40*100/B27</f>
        <v>100</v>
      </c>
      <c r="F40" s="112">
        <f>C40*100/C27</f>
        <v>100.51352553636572</v>
      </c>
      <c r="G40" s="112">
        <f>D40*100/D27</f>
        <v>100.42743453384323</v>
      </c>
    </row>
    <row r="41" spans="1:7" ht="18" customHeight="1" x14ac:dyDescent="0.5">
      <c r="B41" s="54" t="s">
        <v>101</v>
      </c>
    </row>
    <row r="42" spans="1:7" ht="18" customHeight="1" x14ac:dyDescent="0.5">
      <c r="A42" s="59" t="s">
        <v>246</v>
      </c>
      <c r="B42" s="55">
        <f>B27-B40</f>
        <v>0</v>
      </c>
      <c r="C42" s="55">
        <f>C27-C40</f>
        <v>-12883</v>
      </c>
      <c r="D42" s="55">
        <f>D27-D40</f>
        <v>-21766</v>
      </c>
    </row>
  </sheetData>
  <mergeCells count="5">
    <mergeCell ref="A28:D28"/>
    <mergeCell ref="A29:D29"/>
    <mergeCell ref="A2:G2"/>
    <mergeCell ref="A3:G3"/>
    <mergeCell ref="A4:G4"/>
  </mergeCells>
  <phoneticPr fontId="6" type="noConversion"/>
  <pageMargins left="0.59055118110236227" right="0.15748031496062992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H15" sqref="H15"/>
    </sheetView>
  </sheetViews>
  <sheetFormatPr defaultRowHeight="10.5" customHeight="1" x14ac:dyDescent="0.2"/>
  <cols>
    <col min="1" max="1" width="2.28515625" style="3" customWidth="1"/>
    <col min="2" max="3" width="9.140625" style="3"/>
    <col min="4" max="4" width="9.85546875" style="3" customWidth="1"/>
    <col min="5" max="5" width="16.42578125" style="3" customWidth="1"/>
    <col min="6" max="6" width="10.5703125" style="3" customWidth="1"/>
    <col min="7" max="7" width="3.28515625" style="3" customWidth="1"/>
    <col min="8" max="8" width="12.42578125" style="3" bestFit="1" customWidth="1"/>
    <col min="9" max="9" width="1.42578125" style="3" customWidth="1"/>
    <col min="10" max="10" width="12.42578125" style="3" bestFit="1" customWidth="1"/>
    <col min="11" max="11" width="1.42578125" style="3" customWidth="1"/>
    <col min="12" max="12" width="12.42578125" style="3" bestFit="1" customWidth="1"/>
    <col min="13" max="13" width="9.7109375" style="3" bestFit="1" customWidth="1"/>
    <col min="14" max="16384" width="9.140625" style="3"/>
  </cols>
  <sheetData>
    <row r="1" spans="1:12" s="2" customFormat="1" ht="12.75" customHeight="1" x14ac:dyDescent="0.2">
      <c r="A1" s="4" t="s">
        <v>147</v>
      </c>
      <c r="B1" s="4"/>
      <c r="C1" s="4"/>
      <c r="D1" s="4"/>
      <c r="E1" s="4"/>
      <c r="F1" s="4"/>
      <c r="G1" s="4"/>
      <c r="H1" s="6" t="s">
        <v>30</v>
      </c>
      <c r="I1" s="6"/>
      <c r="J1" s="6" t="s">
        <v>31</v>
      </c>
      <c r="K1" s="6"/>
      <c r="L1" s="6" t="s">
        <v>32</v>
      </c>
    </row>
    <row r="2" spans="1:12" ht="10.5" customHeight="1" x14ac:dyDescent="0.2">
      <c r="A2" s="7" t="s">
        <v>148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97" customFormat="1" ht="10.5" customHeight="1" x14ac:dyDescent="0.2">
      <c r="B3" s="97" t="s">
        <v>167</v>
      </c>
      <c r="E3" s="98" t="s">
        <v>149</v>
      </c>
      <c r="F3" s="99"/>
      <c r="G3" s="99" t="s">
        <v>152</v>
      </c>
      <c r="H3" s="100">
        <f>BSงบดุลผลิตกรรม!B13</f>
        <v>374088</v>
      </c>
      <c r="I3" s="101"/>
      <c r="J3" s="100">
        <f>BSงบดุลผลิตกรรม!C13</f>
        <v>2445652</v>
      </c>
      <c r="L3" s="100">
        <f>BSงบดุลผลิตกรรม!D13</f>
        <v>5038040.8</v>
      </c>
    </row>
    <row r="4" spans="1:12" s="97" customFormat="1" ht="10.5" customHeight="1" x14ac:dyDescent="0.2">
      <c r="E4" s="99" t="s">
        <v>150</v>
      </c>
      <c r="H4" s="102">
        <f>BSงบดุลผลิตกรรม!B31+BSงบดุลผลิตกรรม!B32+BSงบดุลผลิตกรรม!B33</f>
        <v>8676</v>
      </c>
      <c r="I4" s="102"/>
      <c r="J4" s="102">
        <f>BSงบดุลผลิตกรรม!C31+BSงบดุลผลิตกรรม!C32+BSงบดุลผลิตกรรม!C33</f>
        <v>10411.200000000001</v>
      </c>
      <c r="L4" s="102">
        <f>BSงบดุลผลิตกรรม!D31+BSงบดุลผลิตกรรม!D32+BSงบดุลผลิตกรรม!D33</f>
        <v>13014</v>
      </c>
    </row>
    <row r="5" spans="1:12" s="97" customFormat="1" ht="10.5" customHeight="1" x14ac:dyDescent="0.2"/>
    <row r="6" spans="1:12" s="97" customFormat="1" ht="10.5" customHeight="1" x14ac:dyDescent="0.2">
      <c r="B6" s="103"/>
      <c r="C6" s="103"/>
      <c r="D6" s="103"/>
      <c r="E6" s="103"/>
      <c r="F6" s="103"/>
      <c r="G6" s="103"/>
      <c r="H6" s="104">
        <f>H3/H4</f>
        <v>43.117565698478565</v>
      </c>
      <c r="I6" s="104"/>
      <c r="J6" s="104">
        <f>J3/J4</f>
        <v>234.90587060089132</v>
      </c>
      <c r="K6" s="103"/>
      <c r="L6" s="104">
        <f>L3/L4</f>
        <v>387.12469648071306</v>
      </c>
    </row>
    <row r="7" spans="1:12" s="97" customFormat="1" ht="5.25" customHeight="1" x14ac:dyDescent="0.2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s="97" customFormat="1" ht="10.5" customHeight="1" x14ac:dyDescent="0.2">
      <c r="B8" s="97" t="s">
        <v>166</v>
      </c>
      <c r="E8" s="103" t="s">
        <v>149</v>
      </c>
      <c r="F8" s="103" t="s">
        <v>151</v>
      </c>
      <c r="G8" s="99" t="s">
        <v>152</v>
      </c>
      <c r="H8" s="100">
        <f>BSงบดุลผลิตกรรม!B7+BSงบดุลผลิตกรรม!B8</f>
        <v>370088</v>
      </c>
      <c r="J8" s="100">
        <f>BSงบดุลผลิตกรรม!C7+BSงบดุลผลิตกรรม!C8</f>
        <v>2443652</v>
      </c>
      <c r="L8" s="100">
        <f>BSงบดุลผลิตกรรม!D7+BSงบดุลผลิตกรรม!D8</f>
        <v>5036040.8</v>
      </c>
    </row>
    <row r="9" spans="1:12" s="97" customFormat="1" ht="10.5" customHeight="1" x14ac:dyDescent="0.2">
      <c r="E9" s="126" t="s">
        <v>150</v>
      </c>
      <c r="F9" s="126"/>
      <c r="H9" s="102">
        <f>H4</f>
        <v>8676</v>
      </c>
      <c r="J9" s="102">
        <f>J4</f>
        <v>10411.200000000001</v>
      </c>
      <c r="L9" s="102">
        <f>L4</f>
        <v>13014</v>
      </c>
    </row>
    <row r="10" spans="1:12" s="97" customFormat="1" ht="10.5" customHeight="1" x14ac:dyDescent="0.2"/>
    <row r="11" spans="1:12" s="97" customFormat="1" ht="10.5" customHeight="1" x14ac:dyDescent="0.2">
      <c r="B11" s="103"/>
      <c r="C11" s="103"/>
      <c r="D11" s="103"/>
      <c r="E11" s="103"/>
      <c r="F11" s="103"/>
      <c r="G11" s="103"/>
      <c r="H11" s="104">
        <f>H8/H9</f>
        <v>42.656523743660671</v>
      </c>
      <c r="I11" s="103"/>
      <c r="J11" s="104">
        <f>J8/J9</f>
        <v>234.71376978638386</v>
      </c>
      <c r="K11" s="103"/>
      <c r="L11" s="104">
        <f>L8/L9</f>
        <v>386.9710158291071</v>
      </c>
    </row>
    <row r="12" spans="1:12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0.5" customHeight="1" x14ac:dyDescent="0.2">
      <c r="A13" s="7" t="s">
        <v>153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97" customFormat="1" ht="12.75" customHeight="1" x14ac:dyDescent="0.2">
      <c r="B14" s="97" t="s">
        <v>165</v>
      </c>
      <c r="E14" s="98" t="s">
        <v>154</v>
      </c>
      <c r="F14" s="99"/>
      <c r="G14" s="99" t="s">
        <v>156</v>
      </c>
      <c r="H14" s="100">
        <f>PLงบกำไรผลิตกรรม!B8-CFงบเงินสดผลิตกรรม!C5</f>
        <v>1735200</v>
      </c>
      <c r="J14" s="100">
        <f>PLงบกำไรผลิตกรรม!C8-CFงบเงินสดผลิตกรรม!D5</f>
        <v>2082240</v>
      </c>
      <c r="L14" s="100">
        <f>PLงบกำไรผลิตกรรม!D8-CFงบเงินสดผลิตกรรม!E5</f>
        <v>2602800</v>
      </c>
    </row>
    <row r="15" spans="1:12" s="97" customFormat="1" ht="10.5" customHeight="1" x14ac:dyDescent="0.2">
      <c r="E15" s="99" t="s">
        <v>155</v>
      </c>
      <c r="H15" s="102">
        <f>BSงบดุลผลิตกรรม!B8</f>
        <v>0</v>
      </c>
      <c r="J15" s="102">
        <f>BSงบดุลผลิตกรรม!C8</f>
        <v>0</v>
      </c>
      <c r="L15" s="102">
        <f>BSงบดุลผลิตกรรม!D8</f>
        <v>0</v>
      </c>
    </row>
    <row r="16" spans="1:12" s="97" customFormat="1" ht="10.5" customHeight="1" x14ac:dyDescent="0.2"/>
    <row r="17" spans="2:12" s="97" customFormat="1" ht="10.5" customHeight="1" x14ac:dyDescent="0.2">
      <c r="B17" s="103"/>
      <c r="C17" s="103"/>
      <c r="D17" s="106"/>
      <c r="E17" s="103"/>
      <c r="F17" s="103"/>
      <c r="G17" s="103"/>
      <c r="H17" s="104" t="e">
        <f>H14/H15</f>
        <v>#DIV/0!</v>
      </c>
      <c r="I17" s="103"/>
      <c r="J17" s="104" t="e">
        <f>J14/J15</f>
        <v>#DIV/0!</v>
      </c>
      <c r="K17" s="103"/>
      <c r="L17" s="104" t="e">
        <f>L14/L15</f>
        <v>#DIV/0!</v>
      </c>
    </row>
    <row r="18" spans="2:12" s="97" customFormat="1" ht="5.25" customHeight="1" x14ac:dyDescent="0.2"/>
    <row r="19" spans="2:12" s="97" customFormat="1" ht="10.5" customHeight="1" x14ac:dyDescent="0.2">
      <c r="B19" s="97" t="s">
        <v>164</v>
      </c>
      <c r="E19" s="98" t="s">
        <v>157</v>
      </c>
      <c r="F19" s="99"/>
      <c r="G19" s="99" t="s">
        <v>156</v>
      </c>
      <c r="H19" s="100">
        <f>PLงบกำไรผลิตกรรม!B9</f>
        <v>985595</v>
      </c>
      <c r="J19" s="100">
        <f>PLงบกำไรผลิตกรรม!C9</f>
        <v>2000</v>
      </c>
      <c r="L19" s="100">
        <f>PLงบกำไรผลิตกรรม!D9</f>
        <v>0</v>
      </c>
    </row>
    <row r="20" spans="2:12" s="97" customFormat="1" ht="10.5" customHeight="1" x14ac:dyDescent="0.2">
      <c r="E20" s="99" t="s">
        <v>158</v>
      </c>
      <c r="H20" s="102">
        <f>BSงบดุลผลิตกรรม!B9+BSงบดุลผลิตกรรม!B10+BSงบดุลผลิตกรรม!B11+BSงบดุลผลิตกรรม!B12</f>
        <v>4000</v>
      </c>
      <c r="J20" s="102">
        <f>BSงบดุลผลิตกรรม!C9+BSงบดุลผลิตกรรม!C10+BSงบดุลผลิตกรรม!C11+BSงบดุลผลิตกรรม!C12</f>
        <v>2000</v>
      </c>
      <c r="L20" s="102">
        <f>BSงบดุลผลิตกรรม!D9+BSงบดุลผลิตกรรม!D10+BSงบดุลผลิตกรรม!D11+BSงบดุลผลิตกรรม!D12</f>
        <v>2000</v>
      </c>
    </row>
    <row r="21" spans="2:12" s="97" customFormat="1" ht="10.5" customHeight="1" x14ac:dyDescent="0.2"/>
    <row r="22" spans="2:12" s="97" customFormat="1" ht="10.5" customHeight="1" x14ac:dyDescent="0.2">
      <c r="B22" s="103"/>
      <c r="C22" s="103"/>
      <c r="D22" s="103"/>
      <c r="E22" s="103"/>
      <c r="F22" s="103"/>
      <c r="G22" s="103"/>
      <c r="H22" s="104">
        <f>H19/H20</f>
        <v>246.39875000000001</v>
      </c>
      <c r="I22" s="103"/>
      <c r="J22" s="104">
        <f>J19/J20</f>
        <v>1</v>
      </c>
      <c r="K22" s="103"/>
      <c r="L22" s="104">
        <f>L19/L20</f>
        <v>0</v>
      </c>
    </row>
    <row r="23" spans="2:12" s="97" customFormat="1" ht="6" customHeight="1" x14ac:dyDescent="0.2"/>
    <row r="24" spans="2:12" s="97" customFormat="1" ht="12.75" customHeight="1" x14ac:dyDescent="0.2">
      <c r="B24" s="97" t="s">
        <v>159</v>
      </c>
      <c r="E24" s="98" t="s">
        <v>155</v>
      </c>
      <c r="F24" s="99">
        <v>365</v>
      </c>
      <c r="G24" s="99" t="s">
        <v>161</v>
      </c>
      <c r="H24" s="100">
        <f>H15</f>
        <v>0</v>
      </c>
      <c r="J24" s="100">
        <f>J15</f>
        <v>0</v>
      </c>
      <c r="L24" s="100">
        <f>L15</f>
        <v>0</v>
      </c>
    </row>
    <row r="25" spans="2:12" s="97" customFormat="1" ht="10.5" customHeight="1" x14ac:dyDescent="0.2">
      <c r="E25" s="99" t="s">
        <v>160</v>
      </c>
      <c r="H25" s="102">
        <f>H14</f>
        <v>1735200</v>
      </c>
      <c r="I25" s="102">
        <f>I14</f>
        <v>0</v>
      </c>
      <c r="J25" s="102">
        <f>J14</f>
        <v>2082240</v>
      </c>
      <c r="K25" s="102">
        <f>K14</f>
        <v>0</v>
      </c>
      <c r="L25" s="102">
        <f>L14</f>
        <v>2602800</v>
      </c>
    </row>
    <row r="26" spans="2:12" s="97" customFormat="1" ht="10.5" customHeight="1" x14ac:dyDescent="0.2"/>
    <row r="27" spans="2:12" s="97" customFormat="1" ht="10.5" customHeight="1" x14ac:dyDescent="0.2">
      <c r="B27" s="103"/>
      <c r="C27" s="103"/>
      <c r="D27" s="103"/>
      <c r="E27" s="103"/>
      <c r="F27" s="103"/>
      <c r="G27" s="103"/>
      <c r="H27" s="104">
        <f>(H24/H25)*F24</f>
        <v>0</v>
      </c>
      <c r="I27" s="103"/>
      <c r="J27" s="104">
        <f>(J24/J25)*F24</f>
        <v>0</v>
      </c>
      <c r="K27" s="103"/>
      <c r="L27" s="104">
        <f>(L24/L25)*F24</f>
        <v>0</v>
      </c>
    </row>
    <row r="28" spans="2:12" s="97" customFormat="1" ht="6" customHeight="1" x14ac:dyDescent="0.2"/>
    <row r="29" spans="2:12" s="97" customFormat="1" ht="10.5" customHeight="1" x14ac:dyDescent="0.2">
      <c r="B29" s="97" t="s">
        <v>163</v>
      </c>
      <c r="E29" s="98" t="s">
        <v>158</v>
      </c>
      <c r="F29" s="99">
        <v>365</v>
      </c>
      <c r="G29" s="99" t="s">
        <v>161</v>
      </c>
      <c r="H29" s="100">
        <f>H20</f>
        <v>4000</v>
      </c>
      <c r="J29" s="100">
        <f>J20</f>
        <v>2000</v>
      </c>
      <c r="L29" s="100">
        <f>L20</f>
        <v>2000</v>
      </c>
    </row>
    <row r="30" spans="2:12" s="97" customFormat="1" ht="10.5" customHeight="1" x14ac:dyDescent="0.2">
      <c r="E30" s="99" t="s">
        <v>157</v>
      </c>
      <c r="H30" s="102">
        <f>H19</f>
        <v>985595</v>
      </c>
      <c r="J30" s="102">
        <f>J19</f>
        <v>2000</v>
      </c>
      <c r="L30" s="102">
        <f>L19</f>
        <v>0</v>
      </c>
    </row>
    <row r="31" spans="2:12" s="97" customFormat="1" ht="10.5" customHeight="1" x14ac:dyDescent="0.2"/>
    <row r="32" spans="2:12" s="97" customFormat="1" ht="10.5" customHeight="1" x14ac:dyDescent="0.2">
      <c r="B32" s="103"/>
      <c r="C32" s="103"/>
      <c r="D32" s="103"/>
      <c r="E32" s="103"/>
      <c r="F32" s="103"/>
      <c r="G32" s="103"/>
      <c r="H32" s="104">
        <f>(H29/H30)*F29</f>
        <v>1.4813386837392641</v>
      </c>
      <c r="I32" s="103"/>
      <c r="J32" s="104">
        <f>(J29/J30)*F29</f>
        <v>365</v>
      </c>
      <c r="K32" s="103"/>
      <c r="L32" s="104" t="e">
        <f>(L29/L30)*F29</f>
        <v>#DIV/0!</v>
      </c>
    </row>
    <row r="33" spans="1:12" s="97" customFormat="1" ht="6" customHeight="1" x14ac:dyDescent="0.2"/>
    <row r="34" spans="1:12" s="97" customFormat="1" ht="10.5" customHeight="1" x14ac:dyDescent="0.2">
      <c r="B34" s="97" t="s">
        <v>168</v>
      </c>
      <c r="E34" s="98" t="s">
        <v>162</v>
      </c>
      <c r="F34" s="99"/>
      <c r="G34" s="99" t="s">
        <v>156</v>
      </c>
      <c r="H34" s="100">
        <f>PLงบกำไรผลิตกรรม!B8</f>
        <v>1735200</v>
      </c>
      <c r="J34" s="100">
        <f>PLงบกำไรผลิตกรรม!C8</f>
        <v>2082240</v>
      </c>
      <c r="L34" s="100">
        <f>PLงบกำไรผลิตกรรม!D8</f>
        <v>2602800</v>
      </c>
    </row>
    <row r="35" spans="1:12" s="97" customFormat="1" ht="10.5" customHeight="1" x14ac:dyDescent="0.2">
      <c r="E35" s="99" t="s">
        <v>169</v>
      </c>
      <c r="H35" s="102">
        <f>BSงบดุลผลิตกรรม!B27</f>
        <v>450055</v>
      </c>
      <c r="J35" s="102">
        <f>BSงบดุลผลิตกรรม!C27</f>
        <v>2508736</v>
      </c>
      <c r="L35" s="102">
        <f>BSงบดุลผลิตกรรม!D27</f>
        <v>5092241.8</v>
      </c>
    </row>
    <row r="36" spans="1:12" s="97" customFormat="1" ht="10.5" customHeight="1" x14ac:dyDescent="0.2">
      <c r="E36" s="99"/>
    </row>
    <row r="37" spans="1:12" s="97" customFormat="1" ht="10.5" customHeight="1" x14ac:dyDescent="0.2">
      <c r="B37" s="103"/>
      <c r="C37" s="103"/>
      <c r="D37" s="103"/>
      <c r="E37" s="103"/>
      <c r="F37" s="103"/>
      <c r="G37" s="103"/>
      <c r="H37" s="107">
        <f>H34/H35</f>
        <v>3.8555287687060469</v>
      </c>
      <c r="I37" s="103"/>
      <c r="J37" s="107">
        <f>J34/J35</f>
        <v>0.82999566315467233</v>
      </c>
      <c r="K37" s="103"/>
      <c r="L37" s="107">
        <f>L34/L35</f>
        <v>0.51113048088172086</v>
      </c>
    </row>
    <row r="38" spans="1:12" s="97" customFormat="1" ht="6" customHeight="1" x14ac:dyDescent="0.2"/>
    <row r="39" spans="1:12" s="97" customFormat="1" ht="10.5" customHeight="1" x14ac:dyDescent="0.2">
      <c r="B39" s="97" t="s">
        <v>170</v>
      </c>
      <c r="E39" s="98" t="s">
        <v>162</v>
      </c>
      <c r="F39" s="99"/>
      <c r="G39" s="99" t="s">
        <v>156</v>
      </c>
      <c r="H39" s="100">
        <f>H34</f>
        <v>1735200</v>
      </c>
      <c r="J39" s="100">
        <f>J34</f>
        <v>2082240</v>
      </c>
      <c r="L39" s="100">
        <f>L34</f>
        <v>2602800</v>
      </c>
    </row>
    <row r="40" spans="1:12" s="97" customFormat="1" ht="10.5" customHeight="1" x14ac:dyDescent="0.2">
      <c r="E40" s="99" t="s">
        <v>171</v>
      </c>
      <c r="H40" s="102">
        <f>BSงบดุลผลิตกรรม!B22</f>
        <v>71967</v>
      </c>
      <c r="J40" s="102">
        <f>BSงบดุลผลิตกรรม!C22</f>
        <v>63084</v>
      </c>
      <c r="L40" s="102">
        <f>BSงบดุลผลิตกรรม!D22</f>
        <v>54201</v>
      </c>
    </row>
    <row r="41" spans="1:12" s="97" customFormat="1" ht="10.5" customHeight="1" x14ac:dyDescent="0.2"/>
    <row r="42" spans="1:12" s="97" customFormat="1" ht="10.5" customHeight="1" x14ac:dyDescent="0.2">
      <c r="B42" s="103"/>
      <c r="C42" s="103"/>
      <c r="D42" s="103"/>
      <c r="E42" s="103"/>
      <c r="F42" s="103"/>
      <c r="G42" s="103"/>
      <c r="H42" s="107">
        <f>H39/H40</f>
        <v>24.111050898328401</v>
      </c>
      <c r="I42" s="103"/>
      <c r="J42" s="107">
        <f>J39/J40</f>
        <v>33.007418679855434</v>
      </c>
      <c r="K42" s="103"/>
      <c r="L42" s="107">
        <f>L39/L40</f>
        <v>48.021254220401836</v>
      </c>
    </row>
    <row r="43" spans="1:12" ht="14.25" customHeight="1" x14ac:dyDescent="0.2">
      <c r="A43" s="7" t="s">
        <v>172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s="97" customFormat="1" ht="10.5" customHeight="1" x14ac:dyDescent="0.2">
      <c r="B44" s="97" t="s">
        <v>173</v>
      </c>
      <c r="E44" s="98" t="s">
        <v>174</v>
      </c>
      <c r="F44" s="99">
        <v>100</v>
      </c>
      <c r="G44" s="99" t="s">
        <v>109</v>
      </c>
      <c r="H44" s="100">
        <f>PLงบกำไรผลิตกรรม!B23</f>
        <v>409529</v>
      </c>
      <c r="J44" s="100">
        <f>PLงบกำไรผลิตกรรม!C23</f>
        <v>2069828.8</v>
      </c>
      <c r="L44" s="100">
        <f>PLงบกำไรผลิตกรรม!D23</f>
        <v>2589786</v>
      </c>
    </row>
    <row r="45" spans="1:12" s="97" customFormat="1" ht="10.5" customHeight="1" x14ac:dyDescent="0.2">
      <c r="E45" s="99" t="s">
        <v>175</v>
      </c>
      <c r="H45" s="102">
        <f>H35</f>
        <v>450055</v>
      </c>
      <c r="J45" s="102">
        <f>J35</f>
        <v>2508736</v>
      </c>
      <c r="L45" s="102">
        <f>L35</f>
        <v>5092241.8</v>
      </c>
    </row>
    <row r="46" spans="1:12" s="97" customFormat="1" ht="10.5" customHeight="1" x14ac:dyDescent="0.2"/>
    <row r="47" spans="1:12" s="97" customFormat="1" ht="10.5" customHeight="1" x14ac:dyDescent="0.2">
      <c r="B47" s="103"/>
      <c r="C47" s="103"/>
      <c r="D47" s="103"/>
      <c r="E47" s="103"/>
      <c r="F47" s="103"/>
      <c r="G47" s="103"/>
      <c r="H47" s="107">
        <f>(H44/H45)*F44</f>
        <v>90.995322793880746</v>
      </c>
      <c r="I47" s="103"/>
      <c r="J47" s="107">
        <f>(J44/J45)*F44</f>
        <v>82.504847062425071</v>
      </c>
      <c r="K47" s="103"/>
      <c r="L47" s="107">
        <f>(L44/L45)*F44</f>
        <v>50.857482847731227</v>
      </c>
    </row>
    <row r="48" spans="1:12" s="97" customFormat="1" ht="4.5" customHeight="1" x14ac:dyDescent="0.2"/>
    <row r="49" spans="2:12" s="97" customFormat="1" ht="10.5" customHeight="1" x14ac:dyDescent="0.2">
      <c r="B49" s="97" t="s">
        <v>176</v>
      </c>
      <c r="E49" s="98" t="s">
        <v>174</v>
      </c>
      <c r="F49" s="99">
        <v>100</v>
      </c>
      <c r="G49" s="99" t="s">
        <v>109</v>
      </c>
      <c r="H49" s="100">
        <f>H44</f>
        <v>409529</v>
      </c>
      <c r="J49" s="100">
        <f>J44</f>
        <v>2069828.8</v>
      </c>
      <c r="L49" s="100">
        <f>L44</f>
        <v>2589786</v>
      </c>
    </row>
    <row r="50" spans="2:12" s="97" customFormat="1" ht="10.5" customHeight="1" x14ac:dyDescent="0.2">
      <c r="E50" s="99" t="s">
        <v>177</v>
      </c>
      <c r="H50" s="102">
        <f>BSงบดุลผลิตกรรม!B39</f>
        <v>441379</v>
      </c>
      <c r="J50" s="102">
        <f>BSงบดุลผลิตกรรม!C39</f>
        <v>2511207.7999999998</v>
      </c>
      <c r="L50" s="102">
        <f>BSงบดุลผลิตกรรม!D39</f>
        <v>5100993.8</v>
      </c>
    </row>
    <row r="51" spans="2:12" s="97" customFormat="1" ht="10.5" customHeight="1" x14ac:dyDescent="0.2"/>
    <row r="52" spans="2:12" s="97" customFormat="1" ht="10.5" customHeight="1" x14ac:dyDescent="0.2">
      <c r="B52" s="103"/>
      <c r="C52" s="103"/>
      <c r="D52" s="103"/>
      <c r="E52" s="103"/>
      <c r="F52" s="103"/>
      <c r="G52" s="103"/>
      <c r="H52" s="107">
        <f>(H49/H50)*F49</f>
        <v>92.783979301235448</v>
      </c>
      <c r="I52" s="103"/>
      <c r="J52" s="107">
        <f>(J49/J50)*F49</f>
        <v>82.423636944740309</v>
      </c>
      <c r="K52" s="103"/>
      <c r="L52" s="107">
        <f>(L49/L50)*F49</f>
        <v>50.770224421758755</v>
      </c>
    </row>
    <row r="53" spans="2:12" s="97" customFormat="1" ht="6" customHeight="1" x14ac:dyDescent="0.2"/>
    <row r="54" spans="2:12" s="97" customFormat="1" ht="10.5" customHeight="1" x14ac:dyDescent="0.2">
      <c r="B54" s="97" t="s">
        <v>178</v>
      </c>
      <c r="E54" s="98" t="s">
        <v>179</v>
      </c>
      <c r="F54" s="99">
        <v>100</v>
      </c>
      <c r="G54" s="99" t="s">
        <v>109</v>
      </c>
      <c r="H54" s="100">
        <f>PLงบกำไรผลิตกรรม!B17</f>
        <v>426605</v>
      </c>
      <c r="J54" s="100">
        <f>PLงบกำไรผลิตกรรม!C17</f>
        <v>2080240</v>
      </c>
      <c r="L54" s="100">
        <f>PLงบกำไรผลิตกรรม!D17</f>
        <v>2602800</v>
      </c>
    </row>
    <row r="55" spans="2:12" s="97" customFormat="1" ht="10.5" customHeight="1" x14ac:dyDescent="0.2">
      <c r="E55" s="99" t="s">
        <v>160</v>
      </c>
      <c r="H55" s="102">
        <f>H39</f>
        <v>1735200</v>
      </c>
      <c r="J55" s="102">
        <f>J39</f>
        <v>2082240</v>
      </c>
      <c r="L55" s="102">
        <f>L39</f>
        <v>2602800</v>
      </c>
    </row>
    <row r="56" spans="2:12" s="97" customFormat="1" ht="10.5" customHeight="1" x14ac:dyDescent="0.2"/>
    <row r="57" spans="2:12" s="97" customFormat="1" ht="10.5" customHeight="1" x14ac:dyDescent="0.2">
      <c r="B57" s="103"/>
      <c r="C57" s="103"/>
      <c r="D57" s="103"/>
      <c r="E57" s="103"/>
      <c r="F57" s="103"/>
      <c r="G57" s="103"/>
      <c r="H57" s="107">
        <f>(H54/H55)*F54</f>
        <v>24.585350391885662</v>
      </c>
      <c r="I57" s="103"/>
      <c r="J57" s="107">
        <f>(J54/J55)*F54</f>
        <v>99.903949592746272</v>
      </c>
      <c r="K57" s="103"/>
      <c r="L57" s="107">
        <f>(L54/L55)*F54</f>
        <v>100</v>
      </c>
    </row>
    <row r="58" spans="2:12" s="97" customFormat="1" ht="6" customHeight="1" x14ac:dyDescent="0.2"/>
    <row r="59" spans="2:12" s="97" customFormat="1" ht="12" customHeight="1" x14ac:dyDescent="0.2">
      <c r="B59" s="97" t="s">
        <v>180</v>
      </c>
      <c r="E59" s="98" t="s">
        <v>181</v>
      </c>
      <c r="F59" s="99">
        <v>100</v>
      </c>
      <c r="G59" s="99" t="s">
        <v>109</v>
      </c>
      <c r="H59" s="100">
        <f>PLงบกำไรผลิตกรรม!B10</f>
        <v>749605</v>
      </c>
      <c r="J59" s="100">
        <f>PLงบกำไรผลิตกรรม!C10</f>
        <v>2080240</v>
      </c>
      <c r="L59" s="100">
        <f>PLงบกำไรผลิตกรรม!D10</f>
        <v>2602800</v>
      </c>
    </row>
    <row r="60" spans="2:12" s="97" customFormat="1" ht="10.5" customHeight="1" x14ac:dyDescent="0.2">
      <c r="E60" s="99" t="s">
        <v>160</v>
      </c>
      <c r="H60" s="102">
        <f>H55</f>
        <v>1735200</v>
      </c>
      <c r="J60" s="102">
        <f>J55</f>
        <v>2082240</v>
      </c>
      <c r="L60" s="102">
        <f>L55</f>
        <v>2602800</v>
      </c>
    </row>
    <row r="61" spans="2:12" s="97" customFormat="1" ht="10.5" customHeight="1" x14ac:dyDescent="0.2"/>
    <row r="62" spans="2:12" s="97" customFormat="1" ht="10.5" customHeight="1" x14ac:dyDescent="0.2">
      <c r="B62" s="103"/>
      <c r="C62" s="103"/>
      <c r="D62" s="103"/>
      <c r="E62" s="103"/>
      <c r="F62" s="103"/>
      <c r="G62" s="103"/>
      <c r="H62" s="107">
        <f>(H59/H60)*F59</f>
        <v>43.199919317657908</v>
      </c>
      <c r="I62" s="103"/>
      <c r="J62" s="107">
        <f>(J59/J60)*F59</f>
        <v>99.903949592746272</v>
      </c>
      <c r="K62" s="103"/>
      <c r="L62" s="107">
        <f>(L59/L60)*F59</f>
        <v>100</v>
      </c>
    </row>
    <row r="63" spans="2:12" s="97" customFormat="1" ht="6" customHeight="1" x14ac:dyDescent="0.2"/>
    <row r="64" spans="2:12" s="97" customFormat="1" ht="10.5" customHeight="1" x14ac:dyDescent="0.2">
      <c r="B64" s="97" t="s">
        <v>182</v>
      </c>
      <c r="E64" s="98" t="s">
        <v>174</v>
      </c>
      <c r="F64" s="99">
        <v>100</v>
      </c>
      <c r="G64" s="99" t="s">
        <v>109</v>
      </c>
      <c r="H64" s="100">
        <f>H49</f>
        <v>409529</v>
      </c>
      <c r="J64" s="100">
        <f>J49</f>
        <v>2069828.8</v>
      </c>
      <c r="L64" s="100">
        <f>L49</f>
        <v>2589786</v>
      </c>
    </row>
    <row r="65" spans="1:12" s="97" customFormat="1" ht="10.5" customHeight="1" x14ac:dyDescent="0.2">
      <c r="E65" s="99" t="s">
        <v>160</v>
      </c>
      <c r="H65" s="102">
        <f>H60</f>
        <v>1735200</v>
      </c>
      <c r="J65" s="102">
        <f>J60</f>
        <v>2082240</v>
      </c>
      <c r="L65" s="102">
        <f>L60</f>
        <v>2602800</v>
      </c>
    </row>
    <row r="66" spans="1:12" s="97" customFormat="1" ht="10.5" customHeight="1" x14ac:dyDescent="0.2"/>
    <row r="67" spans="1:12" s="97" customFormat="1" ht="10.5" customHeight="1" x14ac:dyDescent="0.2">
      <c r="B67" s="103"/>
      <c r="C67" s="103"/>
      <c r="D67" s="103"/>
      <c r="E67" s="103"/>
      <c r="F67" s="103"/>
      <c r="G67" s="103"/>
      <c r="H67" s="107">
        <f>(H64/H65)*F64</f>
        <v>23.601256339326877</v>
      </c>
      <c r="I67" s="103"/>
      <c r="J67" s="107">
        <f>(J64/J65)*F64</f>
        <v>99.403949592746272</v>
      </c>
      <c r="K67" s="103"/>
      <c r="L67" s="107">
        <f>(L64/L65)*F64</f>
        <v>99.5</v>
      </c>
    </row>
    <row r="68" spans="1:12" ht="13.5" customHeight="1" x14ac:dyDescent="0.2">
      <c r="A68" s="7" t="s">
        <v>183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s="97" customFormat="1" ht="12" customHeight="1" x14ac:dyDescent="0.2">
      <c r="B69" s="97" t="s">
        <v>184</v>
      </c>
      <c r="E69" s="98" t="s">
        <v>185</v>
      </c>
      <c r="F69" s="99"/>
      <c r="G69" s="99" t="s">
        <v>152</v>
      </c>
      <c r="H69" s="100">
        <f>BSงบดุลผลิตกรรม!B35</f>
        <v>8676</v>
      </c>
      <c r="J69" s="100">
        <f>BSงบดุลผลิตกรรม!C35</f>
        <v>10411.200000000001</v>
      </c>
      <c r="L69" s="100">
        <f>BSงบดุลผลิตกรรม!D35</f>
        <v>13014</v>
      </c>
    </row>
    <row r="70" spans="1:12" s="97" customFormat="1" ht="10.5" customHeight="1" x14ac:dyDescent="0.2">
      <c r="E70" s="99" t="s">
        <v>169</v>
      </c>
      <c r="H70" s="102">
        <f>H45</f>
        <v>450055</v>
      </c>
      <c r="J70" s="102">
        <f>J45</f>
        <v>2508736</v>
      </c>
      <c r="L70" s="102">
        <f>L45</f>
        <v>5092241.8</v>
      </c>
    </row>
    <row r="71" spans="1:12" s="97" customFormat="1" ht="10.5" customHeight="1" x14ac:dyDescent="0.2"/>
    <row r="72" spans="1:12" s="97" customFormat="1" ht="10.5" customHeight="1" x14ac:dyDescent="0.2">
      <c r="B72" s="103"/>
      <c r="C72" s="103"/>
      <c r="D72" s="103"/>
      <c r="E72" s="103"/>
      <c r="F72" s="103"/>
      <c r="G72" s="103"/>
      <c r="H72" s="107">
        <f>H69/H70</f>
        <v>1.9277643843530236E-2</v>
      </c>
      <c r="I72" s="103"/>
      <c r="J72" s="107">
        <f>J69/J70</f>
        <v>4.1499783157733618E-3</v>
      </c>
      <c r="K72" s="103"/>
      <c r="L72" s="107">
        <f>L69/L70</f>
        <v>2.5556524044086045E-3</v>
      </c>
    </row>
    <row r="73" spans="1:12" s="97" customFormat="1" ht="6" customHeight="1" x14ac:dyDescent="0.2"/>
    <row r="74" spans="1:12" s="97" customFormat="1" ht="10.5" customHeight="1" x14ac:dyDescent="0.2">
      <c r="B74" s="97" t="s">
        <v>186</v>
      </c>
      <c r="E74" s="98" t="s">
        <v>187</v>
      </c>
      <c r="F74" s="99"/>
      <c r="G74" s="99" t="s">
        <v>152</v>
      </c>
      <c r="H74" s="100">
        <f>H69</f>
        <v>8676</v>
      </c>
      <c r="J74" s="100">
        <f>J69</f>
        <v>10411.200000000001</v>
      </c>
      <c r="L74" s="100">
        <f>L69</f>
        <v>13014</v>
      </c>
    </row>
    <row r="75" spans="1:12" s="97" customFormat="1" ht="10.5" customHeight="1" x14ac:dyDescent="0.2">
      <c r="E75" s="99" t="s">
        <v>188</v>
      </c>
      <c r="F75" s="99"/>
      <c r="H75" s="102">
        <f>H50</f>
        <v>441379</v>
      </c>
      <c r="J75" s="102">
        <f>J50</f>
        <v>2511207.7999999998</v>
      </c>
      <c r="L75" s="102">
        <f>L50</f>
        <v>5100993.8</v>
      </c>
    </row>
    <row r="76" spans="1:12" s="97" customFormat="1" ht="10.5" customHeight="1" x14ac:dyDescent="0.2"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</row>
    <row r="77" spans="1:12" s="97" customFormat="1" ht="10.5" customHeight="1" x14ac:dyDescent="0.2">
      <c r="B77" s="103"/>
      <c r="C77" s="103"/>
      <c r="D77" s="103"/>
      <c r="E77" s="103"/>
      <c r="F77" s="103"/>
      <c r="G77" s="103"/>
      <c r="H77" s="107">
        <f>H74/H75</f>
        <v>1.9656576321030225E-2</v>
      </c>
      <c r="I77" s="103"/>
      <c r="J77" s="107">
        <f>J74/J75</f>
        <v>4.1458934621021815E-3</v>
      </c>
      <c r="K77" s="103"/>
      <c r="L77" s="107">
        <f>L74/L75</f>
        <v>2.5512675588823495E-3</v>
      </c>
    </row>
    <row r="78" spans="1:12" s="97" customFormat="1" ht="5.25" customHeight="1" x14ac:dyDescent="0.2"/>
    <row r="79" spans="1:12" s="97" customFormat="1" ht="12.75" customHeight="1" x14ac:dyDescent="0.2">
      <c r="B79" s="97" t="s">
        <v>189</v>
      </c>
      <c r="E79" s="127" t="s">
        <v>190</v>
      </c>
      <c r="F79" s="127"/>
      <c r="G79" s="99" t="s">
        <v>152</v>
      </c>
      <c r="H79" s="100">
        <f>PLงบกำไรผลิตกรรม!B19</f>
        <v>426605</v>
      </c>
      <c r="J79" s="100">
        <f>PLงบกำไรผลิตกรรม!C19</f>
        <v>2080240</v>
      </c>
      <c r="L79" s="100">
        <f>PLงบกำไรผลิตกรรม!D19</f>
        <v>2602800</v>
      </c>
    </row>
    <row r="80" spans="1:12" s="97" customFormat="1" ht="10.5" customHeight="1" x14ac:dyDescent="0.2">
      <c r="E80" s="128" t="s">
        <v>191</v>
      </c>
      <c r="F80" s="128"/>
      <c r="H80" s="102">
        <f>PLงบกำไรผลิตกรรม!B20</f>
        <v>8400</v>
      </c>
      <c r="J80" s="102">
        <f>PLงบกำไรผลิตกรรม!C20</f>
        <v>0</v>
      </c>
      <c r="L80" s="102">
        <f>PLงบกำไรผลิตกรรม!D20</f>
        <v>0</v>
      </c>
    </row>
    <row r="81" spans="2:12" s="97" customFormat="1" ht="10.5" customHeight="1" x14ac:dyDescent="0.2"/>
    <row r="82" spans="2:12" s="97" customFormat="1" ht="10.5" customHeight="1" x14ac:dyDescent="0.2">
      <c r="B82" s="103"/>
      <c r="C82" s="103"/>
      <c r="D82" s="103"/>
      <c r="E82" s="103"/>
      <c r="F82" s="103"/>
      <c r="G82" s="103"/>
      <c r="H82" s="107">
        <f>H79/H80</f>
        <v>50.786309523809521</v>
      </c>
      <c r="I82" s="103"/>
      <c r="J82" s="107" t="e">
        <f>J79/J80</f>
        <v>#DIV/0!</v>
      </c>
      <c r="K82" s="103"/>
      <c r="L82" s="107" t="e">
        <f>L79/L80</f>
        <v>#DIV/0!</v>
      </c>
    </row>
    <row r="83" spans="2:12" s="97" customFormat="1" ht="10.5" customHeight="1" x14ac:dyDescent="0.2"/>
    <row r="84" spans="2:12" s="97" customFormat="1" ht="10.5" customHeight="1" x14ac:dyDescent="0.2"/>
  </sheetData>
  <mergeCells count="3">
    <mergeCell ref="E9:F9"/>
    <mergeCell ref="E79:F79"/>
    <mergeCell ref="E80:F80"/>
  </mergeCells>
  <phoneticPr fontId="6" type="noConversion"/>
  <pageMargins left="0.35433070866141736" right="0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A42" sqref="A42"/>
    </sheetView>
  </sheetViews>
  <sheetFormatPr defaultRowHeight="19.5" customHeight="1" x14ac:dyDescent="0.5"/>
  <cols>
    <col min="1" max="1" width="29.7109375" style="10" customWidth="1"/>
    <col min="2" max="2" width="18.42578125" style="10" customWidth="1"/>
    <col min="3" max="3" width="12.5703125" style="10" customWidth="1"/>
    <col min="4" max="4" width="14.5703125" style="10" customWidth="1"/>
    <col min="5" max="5" width="8.5703125" style="10" customWidth="1"/>
    <col min="6" max="6" width="13.140625" style="10" customWidth="1"/>
    <col min="7" max="16384" width="9.140625" style="10"/>
  </cols>
  <sheetData>
    <row r="1" spans="1:6" s="36" customFormat="1" ht="34.5" customHeight="1" x14ac:dyDescent="0.6">
      <c r="A1" s="113" t="s">
        <v>145</v>
      </c>
    </row>
    <row r="2" spans="1:6" ht="19.5" customHeight="1" x14ac:dyDescent="0.5">
      <c r="A2" s="61" t="s">
        <v>124</v>
      </c>
      <c r="B2" s="62"/>
      <c r="C2" s="62"/>
      <c r="D2" s="62"/>
      <c r="E2" s="62"/>
      <c r="F2" s="62"/>
    </row>
    <row r="3" spans="1:6" ht="19.5" customHeight="1" x14ac:dyDescent="0.5">
      <c r="A3" s="37"/>
    </row>
    <row r="4" spans="1:6" ht="19.5" customHeight="1" x14ac:dyDescent="0.5">
      <c r="A4" s="10" t="s">
        <v>138</v>
      </c>
      <c r="B4" s="63" t="s">
        <v>201</v>
      </c>
    </row>
    <row r="5" spans="1:6" ht="19.5" customHeight="1" x14ac:dyDescent="0.5">
      <c r="B5" s="64" t="s">
        <v>202</v>
      </c>
    </row>
    <row r="6" spans="1:6" ht="19.5" customHeight="1" x14ac:dyDescent="0.5">
      <c r="B6" s="64"/>
    </row>
    <row r="7" spans="1:6" ht="19.5" customHeight="1" x14ac:dyDescent="0.5">
      <c r="A7" s="10" t="s">
        <v>122</v>
      </c>
      <c r="B7" s="65" t="s">
        <v>123</v>
      </c>
    </row>
    <row r="8" spans="1:6" ht="19.5" customHeight="1" x14ac:dyDescent="0.5">
      <c r="B8" s="50" t="s">
        <v>112</v>
      </c>
    </row>
    <row r="10" spans="1:6" s="36" customFormat="1" ht="19.5" customHeight="1" x14ac:dyDescent="0.5">
      <c r="B10" s="69" t="s">
        <v>30</v>
      </c>
      <c r="C10" s="69" t="s">
        <v>31</v>
      </c>
      <c r="D10" s="69" t="s">
        <v>32</v>
      </c>
    </row>
    <row r="11" spans="1:6" s="36" customFormat="1" ht="19.5" customHeight="1" x14ac:dyDescent="0.5">
      <c r="A11" s="26" t="s">
        <v>160</v>
      </c>
      <c r="B11" s="70">
        <f>PLงบกำไรผลิตกรรม!B8</f>
        <v>1735200</v>
      </c>
      <c r="C11" s="70">
        <f>PLงบกำไรผลิตกรรม!C8</f>
        <v>2082240</v>
      </c>
      <c r="D11" s="70">
        <f>PLงบกำไรผลิตกรรม!D8</f>
        <v>2602800</v>
      </c>
    </row>
    <row r="12" spans="1:6" s="36" customFormat="1" ht="19.5" customHeight="1" x14ac:dyDescent="0.5">
      <c r="A12" s="26" t="s">
        <v>110</v>
      </c>
      <c r="B12" s="70">
        <f>PLงบกำไรผลิตกรรม!B9+PLงบกำไรผลิตกรรม!B16-PLงบกำไรผลิตกรรม!B46-PLงบกำไรผลิตกรรม!B48-PLงบกำไรผลิตกรรม!B49-PLงบกำไรผลิตกรรม!B12-PLงบกำไรผลิตกรรม!B13-PLงบกำไรผลิตกรรม!B14-PLงบกำไรผลิตกรรม!B15</f>
        <v>944552</v>
      </c>
      <c r="C12" s="70">
        <f>PLงบกำไรผลิตกรรม!C9+PLงบกำไรผลิตกรรม!C16-PLงบกำไรผลิตกรรม!C46-PLงบกำไรผลิตกรรม!C48-PLงบกำไรผลิตกรรม!C49-PLงบกำไรผลิตกรรม!C12-PLงบกำไรผลิตกรรม!C13-PLงบกำไรผลิตกรรม!C14-PLงบกำไรผลิตกรรม!C15</f>
        <v>2000</v>
      </c>
      <c r="D12" s="70">
        <f>PLงบกำไรผลิตกรรม!D9+PLงบกำไรผลิตกรรม!D16-PLงบกำไรผลิตกรรม!D46-PLงบกำไรผลิตกรรม!D48-PLงบกำไรผลิตกรรม!D49-PLงบกำไรผลิตกรรม!D12-PLงบกำไรผลิตกรรม!D13-PLงบกำไรผลิตกรรม!D14-PLงบกำไรผลิตกรรม!D15</f>
        <v>0</v>
      </c>
    </row>
    <row r="13" spans="1:6" s="36" customFormat="1" ht="19.5" customHeight="1" x14ac:dyDescent="0.5">
      <c r="A13" s="26" t="s">
        <v>111</v>
      </c>
      <c r="B13" s="70">
        <f>PLงบกำไรผลิตกรรม!B9+PLงบกำไรผลิตกรรม!B16+PLงบกำไรผลิตกรรม!B20+PLงบกำไรผลิตกรรม!B22-วิเคราะห์!B12</f>
        <v>381119</v>
      </c>
      <c r="C13" s="70">
        <f>PLงบกำไรผลิตกรรม!C9+PLงบกำไรผลิตกรรม!C16+PLงบกำไรผลิตกรรม!C20+PLงบกำไรผลิตกรรม!C22-วิเคราะห์!C12</f>
        <v>10411.200000000001</v>
      </c>
      <c r="D13" s="70">
        <f>PLงบกำไรผลิตกรรม!D9+PLงบกำไรผลิตกรรม!D16+PLงบกำไรผลิตกรรม!D20+PLงบกำไรผลิตกรรม!D22-วิเคราะห์!D12</f>
        <v>13014</v>
      </c>
    </row>
    <row r="14" spans="1:6" s="36" customFormat="1" ht="19.5" customHeight="1" x14ac:dyDescent="0.5">
      <c r="A14" s="26" t="s">
        <v>112</v>
      </c>
      <c r="B14" s="71">
        <f>((B11-B12)/B11)</f>
        <v>0.45565237436606731</v>
      </c>
      <c r="C14" s="71">
        <f>((C11-C12)/C11)</f>
        <v>0.99903949592746277</v>
      </c>
      <c r="D14" s="71">
        <f>((D11-D12)/D11)</f>
        <v>1</v>
      </c>
    </row>
    <row r="15" spans="1:6" s="36" customFormat="1" ht="19.5" customHeight="1" x14ac:dyDescent="0.5">
      <c r="A15" s="26"/>
      <c r="B15" s="26"/>
      <c r="C15" s="26"/>
      <c r="D15" s="26"/>
    </row>
    <row r="16" spans="1:6" s="37" customFormat="1" ht="19.5" customHeight="1" x14ac:dyDescent="0.5">
      <c r="A16" s="72" t="s">
        <v>207</v>
      </c>
      <c r="B16" s="73">
        <f>B13/B14</f>
        <v>836424.91829486704</v>
      </c>
      <c r="C16" s="73">
        <f>C13/C14</f>
        <v>10421.209614275276</v>
      </c>
      <c r="D16" s="73">
        <f>D13/D14</f>
        <v>13014</v>
      </c>
    </row>
    <row r="17" spans="1:6" s="36" customFormat="1" ht="19.5" customHeight="1" x14ac:dyDescent="0.5">
      <c r="A17" s="29"/>
      <c r="B17" s="74"/>
      <c r="C17" s="74"/>
      <c r="D17" s="74"/>
    </row>
    <row r="18" spans="1:6" ht="19.5" customHeight="1" x14ac:dyDescent="0.5">
      <c r="A18" s="61" t="s">
        <v>126</v>
      </c>
      <c r="B18" s="66"/>
      <c r="C18" s="66"/>
      <c r="D18" s="66"/>
      <c r="E18" s="62"/>
      <c r="F18" s="62"/>
    </row>
    <row r="19" spans="1:6" s="36" customFormat="1" ht="19.5" customHeight="1" x14ac:dyDescent="0.5">
      <c r="A19" s="37"/>
      <c r="B19" s="75" t="s">
        <v>132</v>
      </c>
      <c r="C19" s="74"/>
      <c r="D19" s="75" t="s">
        <v>133</v>
      </c>
    </row>
    <row r="20" spans="1:6" s="36" customFormat="1" ht="19.5" customHeight="1" x14ac:dyDescent="0.5">
      <c r="A20" s="37"/>
      <c r="B20" s="76" t="s">
        <v>135</v>
      </c>
      <c r="C20" s="74"/>
      <c r="D20" s="76" t="s">
        <v>134</v>
      </c>
    </row>
    <row r="21" spans="1:6" s="36" customFormat="1" ht="19.5" customHeight="1" x14ac:dyDescent="0.5">
      <c r="A21" s="37"/>
      <c r="B21" s="76"/>
      <c r="C21" s="74"/>
      <c r="D21" s="76"/>
    </row>
    <row r="22" spans="1:6" s="36" customFormat="1" ht="25.5" customHeight="1" x14ac:dyDescent="0.65">
      <c r="A22" s="77" t="s">
        <v>127</v>
      </c>
      <c r="B22" s="78" t="s">
        <v>128</v>
      </c>
      <c r="C22" s="79" t="s">
        <v>121</v>
      </c>
      <c r="D22" s="78" t="s">
        <v>128</v>
      </c>
    </row>
    <row r="23" spans="1:6" s="36" customFormat="1" ht="19.5" customHeight="1" x14ac:dyDescent="0.5">
      <c r="A23" s="29"/>
      <c r="B23" s="76" t="s">
        <v>130</v>
      </c>
      <c r="C23" s="74"/>
      <c r="D23" s="76" t="s">
        <v>130</v>
      </c>
    </row>
    <row r="24" spans="1:6" s="36" customFormat="1" ht="19.5" customHeight="1" x14ac:dyDescent="0.5">
      <c r="A24" s="29"/>
      <c r="B24" s="76"/>
      <c r="C24" s="74"/>
      <c r="D24" s="74"/>
    </row>
    <row r="25" spans="1:6" s="36" customFormat="1" ht="19.5" customHeight="1" x14ac:dyDescent="0.65">
      <c r="A25" s="77" t="s">
        <v>121</v>
      </c>
      <c r="B25" s="80">
        <f>CFงบเงินสดผลิตกรรม!B33</f>
        <v>126850</v>
      </c>
      <c r="C25" s="79" t="s">
        <v>121</v>
      </c>
      <c r="D25" s="81">
        <f>B25</f>
        <v>126850</v>
      </c>
    </row>
    <row r="26" spans="1:6" s="36" customFormat="1" ht="19.5" customHeight="1" x14ac:dyDescent="0.5">
      <c r="A26" s="29"/>
      <c r="B26" s="74">
        <f>(B34+B35+B36)/3</f>
        <v>1713146.9333333333</v>
      </c>
      <c r="C26" s="74"/>
      <c r="D26" s="74">
        <f>(D34+D35+D36)/3</f>
        <v>1489859.2453333333</v>
      </c>
    </row>
    <row r="27" spans="1:6" s="36" customFormat="1" ht="19.5" customHeight="1" x14ac:dyDescent="0.5">
      <c r="A27" s="29"/>
      <c r="B27" s="74"/>
      <c r="C27" s="74"/>
      <c r="D27" s="74"/>
    </row>
    <row r="28" spans="1:6" s="37" customFormat="1" ht="19.5" customHeight="1" x14ac:dyDescent="0.5">
      <c r="A28" s="82" t="s">
        <v>121</v>
      </c>
      <c r="B28" s="83">
        <f>B25/B26</f>
        <v>7.4045020617807294E-2</v>
      </c>
      <c r="C28" s="83" t="s">
        <v>136</v>
      </c>
      <c r="D28" s="83">
        <f>D25/D26</f>
        <v>8.5142271256382504E-2</v>
      </c>
      <c r="E28" s="37" t="s">
        <v>129</v>
      </c>
    </row>
    <row r="29" spans="1:6" s="36" customFormat="1" ht="19.5" customHeight="1" x14ac:dyDescent="0.5">
      <c r="A29" s="77"/>
      <c r="B29" s="74"/>
      <c r="C29" s="74"/>
      <c r="D29" s="74"/>
    </row>
    <row r="30" spans="1:6" ht="19.5" customHeight="1" x14ac:dyDescent="0.5">
      <c r="A30" s="61" t="s">
        <v>125</v>
      </c>
      <c r="B30" s="62"/>
      <c r="C30" s="62"/>
      <c r="D30" s="62"/>
      <c r="E30" s="62"/>
      <c r="F30" s="62"/>
    </row>
    <row r="31" spans="1:6" s="36" customFormat="1" ht="19.5" customHeight="1" x14ac:dyDescent="0.5">
      <c r="B31" s="51" t="s">
        <v>118</v>
      </c>
      <c r="C31" s="51" t="s">
        <v>137</v>
      </c>
      <c r="D31" s="51" t="s">
        <v>119</v>
      </c>
    </row>
    <row r="32" spans="1:6" s="36" customFormat="1" ht="19.5" customHeight="1" x14ac:dyDescent="0.5">
      <c r="A32" s="84"/>
      <c r="B32" s="85" t="s">
        <v>117</v>
      </c>
      <c r="C32" s="84"/>
      <c r="D32" s="84"/>
    </row>
    <row r="33" spans="1:6" s="36" customFormat="1" ht="19.5" customHeight="1" x14ac:dyDescent="0.5">
      <c r="A33" s="36" t="s">
        <v>113</v>
      </c>
      <c r="B33" s="86">
        <f>-CFงบเงินสดผลิตกรรม!B33</f>
        <v>-126850</v>
      </c>
      <c r="C33" s="87">
        <v>1</v>
      </c>
      <c r="D33" s="34">
        <f>B33*C33</f>
        <v>-126850</v>
      </c>
    </row>
    <row r="34" spans="1:6" s="36" customFormat="1" ht="19.5" customHeight="1" x14ac:dyDescent="0.5">
      <c r="A34" s="36" t="s">
        <v>114</v>
      </c>
      <c r="B34" s="86">
        <f>CFงบเงินสดผลิตกรรม!C34</f>
        <v>473488</v>
      </c>
      <c r="C34" s="88">
        <v>0.94299999999999995</v>
      </c>
      <c r="D34" s="34">
        <f>B34*C34</f>
        <v>446499.18399999995</v>
      </c>
    </row>
    <row r="35" spans="1:6" s="36" customFormat="1" ht="19.5" customHeight="1" x14ac:dyDescent="0.5">
      <c r="A35" s="36" t="s">
        <v>115</v>
      </c>
      <c r="B35" s="86">
        <f>CFงบเงินสดผลิตกรรม!D34</f>
        <v>2073564</v>
      </c>
      <c r="C35" s="88">
        <v>0.89</v>
      </c>
      <c r="D35" s="34">
        <f>B35*C35</f>
        <v>1845471.96</v>
      </c>
    </row>
    <row r="36" spans="1:6" s="36" customFormat="1" ht="19.5" customHeight="1" x14ac:dyDescent="0.5">
      <c r="A36" s="36" t="s">
        <v>116</v>
      </c>
      <c r="B36" s="86">
        <f>CFงบเงินสดผลิตกรรม!E34</f>
        <v>2592388.7999999998</v>
      </c>
      <c r="C36" s="88">
        <v>0.84</v>
      </c>
      <c r="D36" s="89">
        <f>B36*C36</f>
        <v>2177606.5919999997</v>
      </c>
    </row>
    <row r="37" spans="1:6" s="36" customFormat="1" ht="19.5" customHeight="1" x14ac:dyDescent="0.5"/>
    <row r="38" spans="1:6" s="36" customFormat="1" ht="19.5" customHeight="1" thickBot="1" x14ac:dyDescent="0.55000000000000004">
      <c r="A38" s="37" t="s">
        <v>120</v>
      </c>
      <c r="B38" s="37"/>
      <c r="C38" s="37"/>
      <c r="D38" s="90">
        <f>SUM(D33:D37)</f>
        <v>4342727.7359999996</v>
      </c>
    </row>
    <row r="39" spans="1:6" s="36" customFormat="1" ht="19.5" customHeight="1" thickTop="1" x14ac:dyDescent="0.5"/>
    <row r="40" spans="1:6" s="36" customFormat="1" ht="19.5" customHeight="1" x14ac:dyDescent="0.5"/>
    <row r="41" spans="1:6" ht="19.5" customHeight="1" x14ac:dyDescent="0.5">
      <c r="A41" s="61" t="s">
        <v>131</v>
      </c>
      <c r="B41" s="62"/>
      <c r="C41" s="62"/>
      <c r="D41" s="62"/>
      <c r="E41" s="62"/>
      <c r="F41" s="62"/>
    </row>
    <row r="42" spans="1:6" s="36" customFormat="1" ht="19.5" customHeight="1" x14ac:dyDescent="0.5">
      <c r="B42" s="51" t="s">
        <v>144</v>
      </c>
      <c r="C42" s="51" t="s">
        <v>139</v>
      </c>
      <c r="D42" s="51" t="s">
        <v>140</v>
      </c>
      <c r="E42" s="51" t="s">
        <v>139</v>
      </c>
      <c r="F42" s="51" t="s">
        <v>140</v>
      </c>
    </row>
    <row r="43" spans="1:6" s="36" customFormat="1" ht="19.5" customHeight="1" x14ac:dyDescent="0.5">
      <c r="A43" s="84"/>
      <c r="B43" s="85"/>
      <c r="C43" s="91">
        <v>0.06</v>
      </c>
      <c r="D43" s="84"/>
      <c r="E43" s="91">
        <v>0.1</v>
      </c>
      <c r="F43" s="84"/>
    </row>
    <row r="44" spans="1:6" s="36" customFormat="1" ht="19.5" customHeight="1" x14ac:dyDescent="0.5">
      <c r="A44" s="36" t="s">
        <v>114</v>
      </c>
      <c r="B44" s="86">
        <f>B34</f>
        <v>473488</v>
      </c>
      <c r="C44" s="92">
        <v>0.94299999999999995</v>
      </c>
      <c r="D44" s="34">
        <f>B44*C44</f>
        <v>446499.18399999995</v>
      </c>
      <c r="E44" s="51">
        <v>0.90900000000000003</v>
      </c>
      <c r="F44" s="86">
        <f>B44*E44</f>
        <v>430400.592</v>
      </c>
    </row>
    <row r="45" spans="1:6" s="36" customFormat="1" ht="19.5" customHeight="1" x14ac:dyDescent="0.5">
      <c r="A45" s="36" t="s">
        <v>115</v>
      </c>
      <c r="B45" s="86">
        <f>B35</f>
        <v>2073564</v>
      </c>
      <c r="C45" s="92">
        <v>0.89</v>
      </c>
      <c r="D45" s="34">
        <f>B45*C45</f>
        <v>1845471.96</v>
      </c>
      <c r="E45" s="51">
        <v>0.82599999999999996</v>
      </c>
      <c r="F45" s="86">
        <f>B45*E45</f>
        <v>1712763.8639999998</v>
      </c>
    </row>
    <row r="46" spans="1:6" s="36" customFormat="1" ht="19.5" customHeight="1" x14ac:dyDescent="0.5">
      <c r="A46" s="36" t="s">
        <v>116</v>
      </c>
      <c r="B46" s="86">
        <f>B36</f>
        <v>2592388.7999999998</v>
      </c>
      <c r="C46" s="92">
        <v>0.84</v>
      </c>
      <c r="D46" s="89">
        <f>B46*C46</f>
        <v>2177606.5919999997</v>
      </c>
      <c r="E46" s="51">
        <v>0.751</v>
      </c>
      <c r="F46" s="93">
        <f>B46*E46</f>
        <v>1946883.9887999999</v>
      </c>
    </row>
    <row r="47" spans="1:6" s="36" customFormat="1" ht="19.5" customHeight="1" x14ac:dyDescent="0.5"/>
    <row r="48" spans="1:6" s="36" customFormat="1" ht="19.5" customHeight="1" thickBot="1" x14ac:dyDescent="0.55000000000000004">
      <c r="A48" s="36" t="s">
        <v>120</v>
      </c>
      <c r="D48" s="94">
        <f>SUM(D44:D47)</f>
        <v>4469577.7359999996</v>
      </c>
      <c r="E48" s="74"/>
      <c r="F48" s="94">
        <f>SUM(F44:F47)</f>
        <v>4090048.4447999997</v>
      </c>
    </row>
    <row r="49" spans="1:6" s="36" customFormat="1" ht="19.5" customHeight="1" thickTop="1" x14ac:dyDescent="0.5"/>
    <row r="50" spans="1:6" s="36" customFormat="1" ht="19.5" customHeight="1" x14ac:dyDescent="0.5">
      <c r="A50" s="36" t="s">
        <v>141</v>
      </c>
      <c r="C50" s="86">
        <f>D48-F48</f>
        <v>379529.29119999986</v>
      </c>
      <c r="D50" s="95">
        <f>E43-C43</f>
        <v>4.0000000000000008E-2</v>
      </c>
    </row>
    <row r="51" spans="1:6" s="36" customFormat="1" ht="19.5" customHeight="1" x14ac:dyDescent="0.5">
      <c r="A51" s="36" t="s">
        <v>142</v>
      </c>
      <c r="B51" s="86">
        <f>วิเคราะห์!B25</f>
        <v>126850</v>
      </c>
      <c r="C51" s="86">
        <f>F48</f>
        <v>4090048.4447999997</v>
      </c>
      <c r="D51" s="86">
        <f>B51-C51</f>
        <v>-3963198.4447999997</v>
      </c>
      <c r="E51" s="36">
        <f>D51*D50/C50</f>
        <v>-0.41769618700776595</v>
      </c>
      <c r="F51" s="86">
        <f>(D51*(D50*100))/(D48-F48)</f>
        <v>-41.769618700776604</v>
      </c>
    </row>
    <row r="52" spans="1:6" s="36" customFormat="1" ht="19.5" customHeight="1" x14ac:dyDescent="0.5"/>
    <row r="53" spans="1:6" s="36" customFormat="1" ht="19.5" customHeight="1" x14ac:dyDescent="0.5">
      <c r="A53" s="37" t="s">
        <v>143</v>
      </c>
      <c r="B53" s="96">
        <f>10+E51</f>
        <v>9.5823038129922349</v>
      </c>
      <c r="C53" s="37" t="s">
        <v>109</v>
      </c>
    </row>
    <row r="55" spans="1:6" ht="19.5" customHeight="1" x14ac:dyDescent="0.5">
      <c r="C55" s="67"/>
    </row>
    <row r="56" spans="1:6" ht="19.5" customHeight="1" x14ac:dyDescent="0.5">
      <c r="B56" s="68"/>
      <c r="C56" s="68"/>
      <c r="D56" s="68"/>
      <c r="F56" s="68"/>
    </row>
    <row r="58" spans="1:6" ht="19.5" customHeight="1" x14ac:dyDescent="0.5">
      <c r="C58" s="68"/>
    </row>
  </sheetData>
  <phoneticPr fontId="6" type="noConversion"/>
  <pageMargins left="0.19685039370078741" right="0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งบ ตท</vt:lpstr>
      <vt:lpstr>PLงบกำไรผลิตกรรม</vt:lpstr>
      <vt:lpstr>CFงบเงินสดผลิตกรรม</vt:lpstr>
      <vt:lpstr>BSงบดุลผลิตกรรม</vt:lpstr>
      <vt:lpstr>Ratio</vt:lpstr>
      <vt:lpstr>วิเคราะห์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PhathamonBoonyarasai</dc:creator>
  <cp:lastModifiedBy>kulachatrakul</cp:lastModifiedBy>
  <cp:lastPrinted>2013-05-05T10:48:08Z</cp:lastPrinted>
  <dcterms:created xsi:type="dcterms:W3CDTF">2008-05-17T15:45:35Z</dcterms:created>
  <dcterms:modified xsi:type="dcterms:W3CDTF">2013-05-05T10:48:47Z</dcterms:modified>
</cp:coreProperties>
</file>